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ergiorgio.ciceri\Downloads\"/>
    </mc:Choice>
  </mc:AlternateContent>
  <xr:revisionPtr revIDLastSave="0" documentId="13_ncr:1_{806D361C-F9CA-4CF7-8340-B04788BA2C31}" xr6:coauthVersionLast="47" xr6:coauthVersionMax="47" xr10:uidLastSave="{00000000-0000-0000-0000-000000000000}"/>
  <bookViews>
    <workbookView xWindow="-76920" yWindow="-5325" windowWidth="38640" windowHeight="21240" xr2:uid="{2EF14E82-577D-4DF6-99BA-D7B1D3279002}"/>
  </bookViews>
  <sheets>
    <sheet name="Single_contract" sheetId="1" r:id="rId1"/>
    <sheet name="Business_Pla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2" l="1"/>
  <c r="K20" i="2"/>
  <c r="L20" i="2"/>
  <c r="M20" i="2"/>
  <c r="J21" i="2"/>
  <c r="K21" i="2"/>
  <c r="L21" i="2"/>
  <c r="M21" i="2"/>
  <c r="I21" i="2"/>
  <c r="I20" i="2"/>
  <c r="J16" i="2"/>
  <c r="J17" i="2" s="1"/>
  <c r="J36" i="1" l="1"/>
  <c r="K36" i="1"/>
  <c r="I36" i="1"/>
  <c r="I11" i="1"/>
  <c r="K77" i="1"/>
  <c r="K123" i="1"/>
  <c r="K119" i="1"/>
  <c r="K117" i="1"/>
  <c r="K115" i="1"/>
  <c r="I110" i="1"/>
  <c r="J110" i="1" s="1"/>
  <c r="K97" i="1"/>
  <c r="I97" i="1"/>
  <c r="Q91" i="1"/>
  <c r="J112" i="1" s="1"/>
  <c r="K81" i="1"/>
  <c r="I68" i="1"/>
  <c r="J68" i="1" s="1"/>
  <c r="J55" i="1"/>
  <c r="K55" i="1"/>
  <c r="I55" i="1"/>
  <c r="Q49" i="1"/>
  <c r="I69" i="1" s="1"/>
  <c r="I55" i="2"/>
  <c r="I67" i="1" l="1"/>
  <c r="I54" i="1" s="1"/>
  <c r="I79" i="1" s="1"/>
  <c r="J113" i="1"/>
  <c r="J109" i="1" s="1"/>
  <c r="J97" i="1"/>
  <c r="I111" i="1"/>
  <c r="J70" i="1"/>
  <c r="J71" i="1"/>
  <c r="J55" i="2"/>
  <c r="F27" i="2"/>
  <c r="F28" i="2" s="1"/>
  <c r="F29" i="2" s="1"/>
  <c r="I30" i="2" s="1"/>
  <c r="G27" i="2"/>
  <c r="G28" i="2" s="1"/>
  <c r="G29" i="2" s="1"/>
  <c r="H27" i="2"/>
  <c r="H28" i="2" s="1"/>
  <c r="H29" i="2" s="1"/>
  <c r="I27" i="2"/>
  <c r="I28" i="2" s="1"/>
  <c r="I29" i="2" s="1"/>
  <c r="E27" i="2"/>
  <c r="K16" i="2"/>
  <c r="K18" i="2" s="1"/>
  <c r="J18" i="2"/>
  <c r="M16" i="2"/>
  <c r="M18" i="2" s="1"/>
  <c r="L16" i="2"/>
  <c r="E28" i="2" l="1"/>
  <c r="E29" i="2" s="1"/>
  <c r="I32" i="2" s="1"/>
  <c r="I35" i="2" s="1"/>
  <c r="J67" i="1"/>
  <c r="J54" i="1" s="1"/>
  <c r="K67" i="1"/>
  <c r="J96" i="1"/>
  <c r="J121" i="1" s="1"/>
  <c r="J125" i="1" s="1"/>
  <c r="J127" i="1" s="1"/>
  <c r="K109" i="1"/>
  <c r="I109" i="1"/>
  <c r="I96" i="1" s="1"/>
  <c r="I121" i="1" s="1"/>
  <c r="K55" i="2"/>
  <c r="L55" i="2" s="1"/>
  <c r="M55" i="2" s="1"/>
  <c r="H30" i="2"/>
  <c r="J32" i="2"/>
  <c r="K17" i="2"/>
  <c r="L18" i="2"/>
  <c r="L17" i="2"/>
  <c r="M17" i="2"/>
  <c r="K54" i="1" l="1"/>
  <c r="K79" i="1" s="1"/>
  <c r="K83" i="1" s="1"/>
  <c r="K85" i="1" s="1"/>
  <c r="J79" i="1"/>
  <c r="J83" i="1" s="1"/>
  <c r="K96" i="1"/>
  <c r="K121" i="1" s="1"/>
  <c r="I83" i="1"/>
  <c r="K32" i="2"/>
  <c r="I125" i="1" l="1"/>
  <c r="I127" i="1" s="1"/>
  <c r="K125" i="1"/>
  <c r="K127" i="1" s="1"/>
  <c r="J85" i="1"/>
  <c r="I85" i="1"/>
  <c r="L32" i="2"/>
  <c r="M32" i="2" s="1"/>
  <c r="V38" i="1" l="1"/>
  <c r="U38" i="1"/>
  <c r="K38" i="1"/>
  <c r="V35" i="1"/>
  <c r="U35" i="1"/>
  <c r="W34" i="1"/>
  <c r="K34" i="1"/>
  <c r="U28" i="1"/>
  <c r="U27" i="1"/>
  <c r="I25" i="1"/>
  <c r="U25" i="1" s="1"/>
  <c r="U22" i="1"/>
  <c r="U21" i="1"/>
  <c r="U20" i="1"/>
  <c r="R20" i="1"/>
  <c r="U17" i="1"/>
  <c r="J12" i="1"/>
  <c r="U16" i="1"/>
  <c r="U15" i="1"/>
  <c r="U14" i="1"/>
  <c r="U13" i="1"/>
  <c r="I12" i="1"/>
  <c r="Q7" i="1"/>
  <c r="J27" i="1" s="1"/>
  <c r="V27" i="1" s="1"/>
  <c r="V17" i="1" l="1"/>
  <c r="K12" i="1"/>
  <c r="J28" i="1"/>
  <c r="V28" i="1" s="1"/>
  <c r="J25" i="1"/>
  <c r="V25" i="1" s="1"/>
  <c r="U12" i="1"/>
  <c r="I26" i="1"/>
  <c r="V12" i="1"/>
  <c r="J24" i="1" l="1"/>
  <c r="J11" i="1" s="1"/>
  <c r="V11" i="1" s="1"/>
  <c r="V24" i="1"/>
  <c r="W12" i="1"/>
  <c r="U26" i="1"/>
  <c r="U24" i="1" s="1"/>
  <c r="K24" i="1"/>
  <c r="I24" i="1"/>
  <c r="I47" i="2" l="1"/>
  <c r="I59" i="2" s="1"/>
  <c r="J35" i="2"/>
  <c r="J47" i="2" s="1"/>
  <c r="J59" i="2" s="1"/>
  <c r="K35" i="2"/>
  <c r="K47" i="2" s="1"/>
  <c r="K59" i="2" s="1"/>
  <c r="L35" i="2"/>
  <c r="L47" i="2" s="1"/>
  <c r="L59" i="2" s="1"/>
  <c r="M35" i="2"/>
  <c r="M47" i="2" s="1"/>
  <c r="M59" i="2" s="1"/>
  <c r="W24" i="1"/>
  <c r="V36" i="1"/>
  <c r="U11" i="1"/>
  <c r="W11" i="1" s="1"/>
  <c r="W36" i="1" s="1"/>
  <c r="W40" i="1" s="1"/>
  <c r="W42" i="1" s="1"/>
  <c r="K11" i="1"/>
  <c r="J40" i="1" l="1"/>
  <c r="J42" i="1" s="1"/>
  <c r="U36" i="1"/>
  <c r="I40" i="1"/>
  <c r="K40" i="1"/>
  <c r="K42" i="1" s="1"/>
  <c r="V40" i="1" l="1"/>
  <c r="V42" i="1" s="1"/>
  <c r="U40" i="1"/>
  <c r="U42" i="1" s="1"/>
  <c r="I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tc={04AEC4F1-0376-4AEA-BF08-9D4A466B614D}</author>
  </authors>
  <commentList>
    <comment ref="E19" authorId="0" shapeId="0" xr:uid="{04AEC4F1-0376-4AEA-BF08-9D4A466B614D}">
      <text>
        <t>[Threaded comment]
Your version of Excel allows you to read this threaded comment; however, any edits to it will get removed if the file is opened in a newer version of Excel. Learn more: https://go.microsoft.com/fwlink/?linkid=870924
Comment:
    Relevant</t>
      </text>
    </comment>
  </commentList>
</comments>
</file>

<file path=xl/sharedStrings.xml><?xml version="1.0" encoding="utf-8"?>
<sst xmlns="http://schemas.openxmlformats.org/spreadsheetml/2006/main" count="244" uniqueCount="106">
  <si>
    <t>years</t>
  </si>
  <si>
    <t>Car price</t>
  </si>
  <si>
    <t>Discount Customer</t>
  </si>
  <si>
    <t>kilometres per year</t>
  </si>
  <si>
    <t>Equipment</t>
  </si>
  <si>
    <t>Discount Dealer</t>
  </si>
  <si>
    <t xml:space="preserve">Residual value </t>
  </si>
  <si>
    <t>Price</t>
  </si>
  <si>
    <t>Residual Value</t>
  </si>
  <si>
    <t>Revenue</t>
  </si>
  <si>
    <t>Cost</t>
  </si>
  <si>
    <t>Margin</t>
  </si>
  <si>
    <t>1) Leasing</t>
  </si>
  <si>
    <t>Service</t>
  </si>
  <si>
    <t>Insurance</t>
  </si>
  <si>
    <t>Maintenance (express)</t>
  </si>
  <si>
    <t>Maintenance</t>
  </si>
  <si>
    <t>Tyre</t>
  </si>
  <si>
    <t>Fuel</t>
  </si>
  <si>
    <t>Road Assistance (Toll)</t>
  </si>
  <si>
    <t>Road Assistance</t>
  </si>
  <si>
    <t>Relief Vehicle</t>
  </si>
  <si>
    <t>Mobility</t>
  </si>
  <si>
    <t>Parking</t>
  </si>
  <si>
    <t>Admin Fee</t>
  </si>
  <si>
    <t>Other (washing)</t>
  </si>
  <si>
    <t>Other</t>
  </si>
  <si>
    <t>Finance</t>
  </si>
  <si>
    <t>Depreciation (installment=depreciation)</t>
  </si>
  <si>
    <t>Depreciation</t>
  </si>
  <si>
    <t>Interest</t>
  </si>
  <si>
    <t>Funding</t>
  </si>
  <si>
    <t>2) Contract Management</t>
  </si>
  <si>
    <t>3) Remarketing</t>
  </si>
  <si>
    <t>4) Rebate</t>
  </si>
  <si>
    <t>Gross Margin</t>
  </si>
  <si>
    <t>Fixed Cost</t>
  </si>
  <si>
    <t>One time Effect</t>
  </si>
  <si>
    <t>Profit</t>
  </si>
  <si>
    <t>Gross Profit</t>
  </si>
  <si>
    <t>Cost Structure</t>
  </si>
  <si>
    <t>Employee costs</t>
  </si>
  <si>
    <t>Operating Profit</t>
  </si>
  <si>
    <t>KINTO OnePlan</t>
  </si>
  <si>
    <t>31.03.</t>
  </si>
  <si>
    <t>Plan Y1</t>
  </si>
  <si>
    <t>Plan Y2</t>
  </si>
  <si>
    <t>Plan Y3</t>
  </si>
  <si>
    <t>Plan Y4</t>
  </si>
  <si>
    <t>Plan Y5</t>
  </si>
  <si>
    <t>Total Market (PC&amp;LCV Sales)</t>
  </si>
  <si>
    <t>Units</t>
  </si>
  <si>
    <t>Financing/ Leasing volume</t>
  </si>
  <si>
    <t>Loan Volume</t>
  </si>
  <si>
    <t>Total Leasing Volume</t>
  </si>
  <si>
    <t>Leasing non-private Customer volume</t>
  </si>
  <si>
    <t>Leasing private customer volume</t>
  </si>
  <si>
    <t>FSL Market -&gt; New contracts</t>
  </si>
  <si>
    <t>Year 1</t>
  </si>
  <si>
    <t>Year 2</t>
  </si>
  <si>
    <t>Year 3</t>
  </si>
  <si>
    <t>Year 4</t>
  </si>
  <si>
    <t>Year 5</t>
  </si>
  <si>
    <t>A.New  Sales</t>
  </si>
  <si>
    <t>B. Early Termination</t>
  </si>
  <si>
    <t>C. New Volume</t>
  </si>
  <si>
    <t>D. Defleeting</t>
  </si>
  <si>
    <t>Early termination rate</t>
  </si>
  <si>
    <t>Units in Operation</t>
  </si>
  <si>
    <t>UIO Calculation</t>
  </si>
  <si>
    <t xml:space="preserve">New Sales Volume </t>
  </si>
  <si>
    <t>FTE</t>
  </si>
  <si>
    <t>Salary per year</t>
  </si>
  <si>
    <t>Growth rate</t>
  </si>
  <si>
    <t>Inflation rate</t>
  </si>
  <si>
    <t>other opex costs</t>
  </si>
  <si>
    <t>k</t>
  </si>
  <si>
    <t>Total per month - Portfolio average</t>
  </si>
  <si>
    <t>Total per year - Portfolio average</t>
  </si>
  <si>
    <t>Down Payment</t>
  </si>
  <si>
    <t>Total per month - Corolla - same contract and service as competitor benchmark</t>
  </si>
  <si>
    <t>Total per month - Rav4 - same contract and service as competitor benchmark</t>
  </si>
  <si>
    <t>Provisioning</t>
  </si>
  <si>
    <t>Model</t>
  </si>
  <si>
    <t>Version</t>
  </si>
  <si>
    <t>List Price</t>
  </si>
  <si>
    <t>Rate (monthly)</t>
  </si>
  <si>
    <t>Duration</t>
  </si>
  <si>
    <t>FSL Company</t>
  </si>
  <si>
    <t>KM (yearly)</t>
  </si>
  <si>
    <t>Competitor Benchmark (Toyota with independent FSL + key competitor with captive FSL)</t>
  </si>
  <si>
    <t>Services included</t>
  </si>
  <si>
    <t>Toyota</t>
  </si>
  <si>
    <t>Comp 1</t>
  </si>
  <si>
    <t>Comp 2</t>
  </si>
  <si>
    <t>Comp 3</t>
  </si>
  <si>
    <t>Fiscal Year ending</t>
  </si>
  <si>
    <t>TFS Current volumes</t>
  </si>
  <si>
    <t>FSL Market Volumes</t>
  </si>
  <si>
    <t>Market + NMSC volumes (all PC + LCV)</t>
  </si>
  <si>
    <t>NMSC Sales Toyota + Lexus</t>
  </si>
  <si>
    <t>KINTO One Volumes</t>
  </si>
  <si>
    <t>KINTO One FSL Market Share</t>
  </si>
  <si>
    <t>KINTO One NMSC Penetration</t>
  </si>
  <si>
    <t>Please input yellow cells</t>
  </si>
  <si>
    <t>Market and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</si>
</sst>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[$NOK]\ * #,##0_-;\-[$NOK]\ * #,##0_-;_-[$NOK]\ * &quot;-&quot;??_-;_-@_-"/>
    <numFmt numFmtId="166" formatCode="0.000%"/>
    <numFmt numFmtId="167" formatCode="_-* #,##0_-;\-* #,##0_-;_-* &quot;-&quot;??_-;_-@_-"/>
    <numFmt numFmtId="168" formatCode="_-* #,##0.00\ [$€-407]_-;\-* #,##0.00\ [$€-407]_-;_-* &quot;-&quot;??\ [$€-407]_-;_-@_-"/>
    <numFmt numFmtId="169" formatCode="#,###;\(#,###\);\-"/>
    <numFmt numFmtId="170" formatCode="yyyy&quot;A&quot;"/>
    <numFmt numFmtId="171" formatCode="yyyy&quot;E&quot;"/>
    <numFmt numFmtId="172" formatCode="#,##0.0%_);\(#,##0.0%\)"/>
    <numFmt numFmtId="174" formatCode="0.0%;\(0.0%\)"/>
    <numFmt numFmtId="175" formatCode="#,##0_);[Red]\(#,##0\);\-_)"/>
    <numFmt numFmtId="176" formatCode="###,###,##0"/>
    <numFmt numFmtId="177" formatCode="###,###,##0;\(###,###,##0\);\-"/>
    <numFmt numFmtId="178" formatCode="_ * #,##0_ ;_ * \-#,##0_ ;_ * &quot;-&quot;??_ ;_ @_ "/>
    <numFmt numFmtId="179" formatCode="_-* #,##0\ [$€-407]_-;\-* #,##0\ [$€-407]_-;_-* &quot;-&quot;??\ [$€-407]_-;_-@_-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Arial"/>
      <family val="2"/>
    </font>
    <font>
      <sz val="72"/>
      <color rgb="FFFF0000"/>
      <name val="Arial"/>
      <family val="2"/>
    </font>
    <font>
      <i/>
      <sz val="11"/>
      <color theme="4"/>
      <name val="Arial"/>
      <family val="2"/>
    </font>
    <font>
      <sz val="11"/>
      <color theme="4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8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 val="singleAccounting"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 val="singleAccounting"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1"/>
      <scheme val="minor"/>
    </font>
    <font>
      <b/>
      <sz val="10"/>
      <color theme="1"/>
      <name val="Calibri"/>
      <family val="1"/>
      <scheme val="minor"/>
    </font>
    <font>
      <sz val="10"/>
      <color indexed="12"/>
      <name val="Calibri"/>
      <family val="2"/>
      <scheme val="minor"/>
    </font>
    <font>
      <i/>
      <u val="singleAccounting"/>
      <sz val="10"/>
      <color theme="1"/>
      <name val="Calibri"/>
      <family val="1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17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6" fontId="0" fillId="0" borderId="0" xfId="3" applyNumberFormat="1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5" xfId="0" applyFont="1" applyBorder="1"/>
    <xf numFmtId="0" fontId="0" fillId="0" borderId="13" xfId="0" applyBorder="1"/>
    <xf numFmtId="0" fontId="4" fillId="0" borderId="15" xfId="0" applyFont="1" applyBorder="1"/>
    <xf numFmtId="0" fontId="0" fillId="0" borderId="15" xfId="0" applyBorder="1"/>
    <xf numFmtId="0" fontId="4" fillId="0" borderId="16" xfId="0" applyFont="1" applyBorder="1"/>
    <xf numFmtId="0" fontId="0" fillId="0" borderId="16" xfId="0" applyBorder="1"/>
    <xf numFmtId="10" fontId="4" fillId="0" borderId="16" xfId="0" applyNumberFormat="1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10" xfId="0" applyFont="1" applyBorder="1"/>
    <xf numFmtId="0" fontId="2" fillId="0" borderId="11" xfId="0" applyFont="1" applyBorder="1"/>
    <xf numFmtId="0" fontId="0" fillId="2" borderId="10" xfId="0" applyFill="1" applyBorder="1"/>
    <xf numFmtId="0" fontId="2" fillId="2" borderId="11" xfId="0" applyFont="1" applyFill="1" applyBorder="1"/>
    <xf numFmtId="0" fontId="2" fillId="2" borderId="10" xfId="0" applyFont="1" applyFill="1" applyBorder="1"/>
    <xf numFmtId="168" fontId="0" fillId="0" borderId="0" xfId="0" applyNumberFormat="1"/>
    <xf numFmtId="168" fontId="0" fillId="0" borderId="0" xfId="0" applyNumberFormat="1" applyAlignment="1">
      <alignment horizontal="center"/>
    </xf>
    <xf numFmtId="168" fontId="0" fillId="0" borderId="2" xfId="0" applyNumberFormat="1" applyBorder="1"/>
    <xf numFmtId="168" fontId="0" fillId="0" borderId="3" xfId="0" applyNumberFormat="1" applyBorder="1"/>
    <xf numFmtId="168" fontId="0" fillId="0" borderId="6" xfId="0" applyNumberFormat="1" applyBorder="1"/>
    <xf numFmtId="168" fontId="0" fillId="0" borderId="7" xfId="0" applyNumberFormat="1" applyBorder="1"/>
    <xf numFmtId="168" fontId="0" fillId="0" borderId="14" xfId="0" applyNumberFormat="1" applyBorder="1"/>
    <xf numFmtId="168" fontId="0" fillId="0" borderId="11" xfId="0" applyNumberFormat="1" applyBorder="1"/>
    <xf numFmtId="168" fontId="0" fillId="0" borderId="12" xfId="0" applyNumberFormat="1" applyBorder="1"/>
    <xf numFmtId="168" fontId="0" fillId="0" borderId="15" xfId="0" applyNumberFormat="1" applyBorder="1"/>
    <xf numFmtId="168" fontId="0" fillId="0" borderId="17" xfId="0" applyNumberFormat="1" applyBorder="1"/>
    <xf numFmtId="168" fontId="0" fillId="0" borderId="18" xfId="0" applyNumberFormat="1" applyBorder="1"/>
    <xf numFmtId="168" fontId="2" fillId="0" borderId="2" xfId="0" applyNumberFormat="1" applyFont="1" applyBorder="1"/>
    <xf numFmtId="168" fontId="2" fillId="0" borderId="3" xfId="0" applyNumberFormat="1" applyFont="1" applyBorder="1"/>
    <xf numFmtId="168" fontId="2" fillId="0" borderId="11" xfId="0" applyNumberFormat="1" applyFont="1" applyBorder="1"/>
    <xf numFmtId="168" fontId="2" fillId="0" borderId="12" xfId="0" applyNumberFormat="1" applyFont="1" applyBorder="1"/>
    <xf numFmtId="168" fontId="2" fillId="2" borderId="11" xfId="0" applyNumberFormat="1" applyFont="1" applyFill="1" applyBorder="1"/>
    <xf numFmtId="168" fontId="2" fillId="2" borderId="12" xfId="0" applyNumberFormat="1" applyFont="1" applyFill="1" applyBorder="1"/>
    <xf numFmtId="164" fontId="0" fillId="0" borderId="0" xfId="2" applyFont="1"/>
    <xf numFmtId="164" fontId="0" fillId="0" borderId="0" xfId="2" applyFont="1" applyAlignment="1">
      <alignment horizontal="center"/>
    </xf>
    <xf numFmtId="164" fontId="0" fillId="0" borderId="2" xfId="2" applyFont="1" applyBorder="1"/>
    <xf numFmtId="164" fontId="0" fillId="0" borderId="3" xfId="2" applyFont="1" applyBorder="1"/>
    <xf numFmtId="164" fontId="0" fillId="0" borderId="6" xfId="2" applyFont="1" applyBorder="1"/>
    <xf numFmtId="164" fontId="0" fillId="0" borderId="7" xfId="2" applyFont="1" applyBorder="1"/>
    <xf numFmtId="164" fontId="0" fillId="0" borderId="14" xfId="2" applyFont="1" applyBorder="1"/>
    <xf numFmtId="164" fontId="0" fillId="0" borderId="11" xfId="2" applyFont="1" applyBorder="1"/>
    <xf numFmtId="164" fontId="0" fillId="0" borderId="12" xfId="2" applyFont="1" applyBorder="1"/>
    <xf numFmtId="164" fontId="0" fillId="0" borderId="15" xfId="2" applyFont="1" applyBorder="1"/>
    <xf numFmtId="164" fontId="0" fillId="0" borderId="17" xfId="2" applyFont="1" applyBorder="1"/>
    <xf numFmtId="164" fontId="0" fillId="0" borderId="18" xfId="2" applyFont="1" applyBorder="1"/>
    <xf numFmtId="164" fontId="2" fillId="0" borderId="2" xfId="2" applyFont="1" applyBorder="1"/>
    <xf numFmtId="164" fontId="2" fillId="0" borderId="3" xfId="2" applyFont="1" applyBorder="1"/>
    <xf numFmtId="164" fontId="2" fillId="0" borderId="11" xfId="2" applyFont="1" applyBorder="1"/>
    <xf numFmtId="164" fontId="2" fillId="0" borderId="12" xfId="2" applyFont="1" applyBorder="1"/>
    <xf numFmtId="164" fontId="2" fillId="2" borderId="11" xfId="2" applyFont="1" applyFill="1" applyBorder="1"/>
    <xf numFmtId="164" fontId="2" fillId="2" borderId="12" xfId="2" applyFont="1" applyFill="1" applyBorder="1"/>
    <xf numFmtId="0" fontId="9" fillId="3" borderId="0" xfId="4" applyFont="1" applyFill="1"/>
    <xf numFmtId="0" fontId="10" fillId="0" borderId="0" xfId="4" applyFont="1"/>
    <xf numFmtId="0" fontId="9" fillId="0" borderId="0" xfId="4" applyFont="1"/>
    <xf numFmtId="0" fontId="11" fillId="0" borderId="0" xfId="4" applyFont="1"/>
    <xf numFmtId="169" fontId="9" fillId="0" borderId="0" xfId="4" applyNumberFormat="1" applyFont="1"/>
    <xf numFmtId="170" fontId="12" fillId="4" borderId="0" xfId="4" applyNumberFormat="1" applyFont="1" applyFill="1" applyAlignment="1">
      <alignment horizontal="center"/>
    </xf>
    <xf numFmtId="171" fontId="12" fillId="0" borderId="0" xfId="4" applyNumberFormat="1" applyFont="1" applyAlignment="1">
      <alignment horizontal="center"/>
    </xf>
    <xf numFmtId="16" fontId="11" fillId="0" borderId="0" xfId="4" applyNumberFormat="1" applyFont="1" applyAlignment="1">
      <alignment horizontal="center" vertical="center"/>
    </xf>
    <xf numFmtId="0" fontId="13" fillId="6" borderId="0" xfId="4" applyFont="1" applyFill="1"/>
    <xf numFmtId="171" fontId="14" fillId="6" borderId="0" xfId="4" applyNumberFormat="1" applyFont="1" applyFill="1" applyAlignment="1">
      <alignment horizontal="center"/>
    </xf>
    <xf numFmtId="0" fontId="15" fillId="7" borderId="0" xfId="4" applyFont="1" applyFill="1"/>
    <xf numFmtId="0" fontId="15" fillId="0" borderId="0" xfId="4" applyFont="1"/>
    <xf numFmtId="172" fontId="16" fillId="0" borderId="0" xfId="4" applyNumberFormat="1" applyFont="1"/>
    <xf numFmtId="169" fontId="18" fillId="5" borderId="8" xfId="4" applyNumberFormat="1" applyFont="1" applyFill="1" applyBorder="1"/>
    <xf numFmtId="0" fontId="17" fillId="0" borderId="0" xfId="4" applyFont="1"/>
    <xf numFmtId="0" fontId="16" fillId="0" borderId="0" xfId="4" applyFont="1" applyAlignment="1">
      <alignment horizontal="left" indent="1"/>
    </xf>
    <xf numFmtId="169" fontId="19" fillId="0" borderId="0" xfId="4" applyNumberFormat="1" applyFont="1" applyAlignment="1">
      <alignment horizontal="center"/>
    </xf>
    <xf numFmtId="169" fontId="9" fillId="0" borderId="2" xfId="4" applyNumberFormat="1" applyFont="1" applyBorder="1"/>
    <xf numFmtId="169" fontId="9" fillId="0" borderId="0" xfId="4" applyNumberFormat="1" applyFont="1" applyAlignment="1">
      <alignment horizontal="left" indent="2"/>
    </xf>
    <xf numFmtId="9" fontId="9" fillId="0" borderId="0" xfId="5" applyFont="1"/>
    <xf numFmtId="0" fontId="15" fillId="8" borderId="2" xfId="4" applyFont="1" applyFill="1" applyBorder="1"/>
    <xf numFmtId="0" fontId="9" fillId="8" borderId="2" xfId="4" applyFont="1" applyFill="1" applyBorder="1"/>
    <xf numFmtId="176" fontId="15" fillId="8" borderId="2" xfId="4" applyNumberFormat="1" applyFont="1" applyFill="1" applyBorder="1"/>
    <xf numFmtId="175" fontId="18" fillId="5" borderId="8" xfId="4" applyNumberFormat="1" applyFont="1" applyFill="1" applyBorder="1"/>
    <xf numFmtId="0" fontId="13" fillId="6" borderId="0" xfId="4" applyFont="1" applyFill="1" applyAlignment="1">
      <alignment vertical="center"/>
    </xf>
    <xf numFmtId="9" fontId="9" fillId="0" borderId="0" xfId="4" applyNumberFormat="1" applyFont="1"/>
    <xf numFmtId="177" fontId="9" fillId="0" borderId="0" xfId="4" applyNumberFormat="1" applyFont="1"/>
    <xf numFmtId="179" fontId="9" fillId="0" borderId="0" xfId="5" applyNumberFormat="1" applyFont="1"/>
    <xf numFmtId="174" fontId="18" fillId="9" borderId="2" xfId="5" applyNumberFormat="1" applyFont="1" applyFill="1" applyBorder="1"/>
    <xf numFmtId="9" fontId="11" fillId="0" borderId="0" xfId="4" applyNumberFormat="1" applyFont="1"/>
    <xf numFmtId="168" fontId="18" fillId="9" borderId="8" xfId="2" applyNumberFormat="1" applyFont="1" applyFill="1" applyBorder="1"/>
    <xf numFmtId="9" fontId="11" fillId="0" borderId="0" xfId="5" applyFont="1"/>
    <xf numFmtId="0" fontId="13" fillId="3" borderId="0" xfId="4" applyFont="1" applyFill="1" applyAlignment="1">
      <alignment vertical="center"/>
    </xf>
    <xf numFmtId="0" fontId="9" fillId="7" borderId="0" xfId="4" applyFont="1" applyFill="1"/>
    <xf numFmtId="0" fontId="22" fillId="11" borderId="8" xfId="0" applyFont="1" applyFill="1" applyBorder="1"/>
    <xf numFmtId="0" fontId="21" fillId="11" borderId="13" xfId="0" applyFont="1" applyFill="1" applyBorder="1" applyAlignment="1">
      <alignment horizontal="left"/>
    </xf>
    <xf numFmtId="0" fontId="21" fillId="11" borderId="0" xfId="0" applyFont="1" applyFill="1" applyBorder="1" applyAlignment="1">
      <alignment horizontal="left"/>
    </xf>
    <xf numFmtId="0" fontId="21" fillId="11" borderId="14" xfId="0" applyFont="1" applyFill="1" applyBorder="1" applyAlignment="1">
      <alignment horizontal="left"/>
    </xf>
    <xf numFmtId="0" fontId="22" fillId="4" borderId="8" xfId="0" applyFont="1" applyFill="1" applyBorder="1"/>
    <xf numFmtId="0" fontId="22" fillId="4" borderId="8" xfId="0" applyFont="1" applyFill="1" applyBorder="1" applyAlignment="1">
      <alignment horizontal="left"/>
    </xf>
    <xf numFmtId="9" fontId="9" fillId="7" borderId="8" xfId="3" applyFont="1" applyFill="1" applyBorder="1" applyAlignment="1">
      <alignment horizontal="center"/>
    </xf>
    <xf numFmtId="0" fontId="9" fillId="0" borderId="0" xfId="4" applyFont="1" applyAlignment="1">
      <alignment horizontal="left" indent="2"/>
    </xf>
    <xf numFmtId="0" fontId="9" fillId="0" borderId="2" xfId="4" applyFont="1" applyBorder="1" applyAlignment="1">
      <alignment horizontal="left" indent="2"/>
    </xf>
    <xf numFmtId="0" fontId="22" fillId="0" borderId="15" xfId="0" applyFont="1" applyBorder="1"/>
    <xf numFmtId="0" fontId="11" fillId="0" borderId="0" xfId="4" applyFont="1" applyAlignment="1">
      <alignment horizontal="left" indent="2"/>
    </xf>
    <xf numFmtId="179" fontId="9" fillId="0" borderId="0" xfId="4" applyNumberFormat="1" applyFont="1" applyAlignment="1">
      <alignment horizontal="left" indent="2"/>
    </xf>
    <xf numFmtId="0" fontId="22" fillId="0" borderId="16" xfId="0" applyFont="1" applyBorder="1"/>
    <xf numFmtId="0" fontId="0" fillId="0" borderId="0" xfId="0" applyBorder="1"/>
    <xf numFmtId="164" fontId="0" fillId="0" borderId="0" xfId="2" applyFont="1" applyBorder="1"/>
    <xf numFmtId="0" fontId="0" fillId="0" borderId="0" xfId="0" applyFill="1" applyBorder="1"/>
    <xf numFmtId="164" fontId="0" fillId="0" borderId="0" xfId="2" applyFont="1" applyFill="1" applyBorder="1"/>
    <xf numFmtId="165" fontId="0" fillId="0" borderId="0" xfId="0" applyNumberForma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/>
    <xf numFmtId="168" fontId="0" fillId="0" borderId="0" xfId="0" applyNumberFormat="1" applyFill="1" applyBorder="1"/>
    <xf numFmtId="10" fontId="4" fillId="0" borderId="0" xfId="0" applyNumberFormat="1" applyFont="1" applyFill="1" applyBorder="1"/>
    <xf numFmtId="168" fontId="2" fillId="0" borderId="0" xfId="0" applyNumberFormat="1" applyFont="1" applyFill="1" applyBorder="1"/>
    <xf numFmtId="168" fontId="5" fillId="0" borderId="0" xfId="0" applyNumberFormat="1" applyFont="1" applyFill="1" applyBorder="1" applyAlignment="1">
      <alignment vertical="center"/>
    </xf>
    <xf numFmtId="0" fontId="3" fillId="0" borderId="1" xfId="0" applyFont="1" applyBorder="1"/>
    <xf numFmtId="0" fontId="21" fillId="11" borderId="13" xfId="0" applyFont="1" applyFill="1" applyBorder="1" applyAlignment="1">
      <alignment horizontal="left"/>
    </xf>
    <xf numFmtId="0" fontId="21" fillId="11" borderId="0" xfId="0" applyFont="1" applyFill="1" applyBorder="1" applyAlignment="1">
      <alignment horizontal="left"/>
    </xf>
    <xf numFmtId="0" fontId="21" fillId="11" borderId="14" xfId="0" applyFont="1" applyFill="1" applyBorder="1" applyAlignment="1">
      <alignment horizontal="left"/>
    </xf>
    <xf numFmtId="164" fontId="5" fillId="0" borderId="7" xfId="2" applyFont="1" applyBorder="1" applyAlignment="1">
      <alignment horizontal="center" vertical="center"/>
    </xf>
    <xf numFmtId="164" fontId="5" fillId="0" borderId="14" xfId="2" applyFont="1" applyBorder="1" applyAlignment="1">
      <alignment horizontal="center" vertical="center"/>
    </xf>
    <xf numFmtId="164" fontId="5" fillId="0" borderId="17" xfId="2" applyFont="1" applyBorder="1" applyAlignment="1">
      <alignment horizontal="center" vertical="center"/>
    </xf>
    <xf numFmtId="168" fontId="5" fillId="0" borderId="7" xfId="0" applyNumberFormat="1" applyFont="1" applyBorder="1" applyAlignment="1">
      <alignment horizontal="center" vertical="center"/>
    </xf>
    <xf numFmtId="168" fontId="5" fillId="0" borderId="14" xfId="0" applyNumberFormat="1" applyFont="1" applyBorder="1" applyAlignment="1">
      <alignment horizontal="center" vertical="center"/>
    </xf>
    <xf numFmtId="168" fontId="5" fillId="0" borderId="17" xfId="0" applyNumberFormat="1" applyFont="1" applyBorder="1" applyAlignment="1">
      <alignment horizontal="center" vertical="center"/>
    </xf>
    <xf numFmtId="0" fontId="21" fillId="10" borderId="19" xfId="0" applyFont="1" applyFill="1" applyBorder="1" applyAlignment="1">
      <alignment horizontal="center" vertical="center"/>
    </xf>
    <xf numFmtId="0" fontId="21" fillId="11" borderId="13" xfId="0" applyFont="1" applyFill="1" applyBorder="1" applyAlignment="1">
      <alignment horizontal="left"/>
    </xf>
    <xf numFmtId="0" fontId="21" fillId="11" borderId="0" xfId="0" applyFont="1" applyFill="1" applyBorder="1" applyAlignment="1">
      <alignment horizontal="left"/>
    </xf>
    <xf numFmtId="0" fontId="21" fillId="11" borderId="14" xfId="0" applyFont="1" applyFill="1" applyBorder="1" applyAlignment="1">
      <alignment horizontal="left"/>
    </xf>
    <xf numFmtId="0" fontId="21" fillId="4" borderId="13" xfId="0" applyFont="1" applyFill="1" applyBorder="1" applyAlignment="1">
      <alignment horizontal="left"/>
    </xf>
    <xf numFmtId="0" fontId="21" fillId="4" borderId="0" xfId="0" applyFont="1" applyFill="1" applyBorder="1" applyAlignment="1">
      <alignment horizontal="left"/>
    </xf>
    <xf numFmtId="0" fontId="21" fillId="4" borderId="14" xfId="0" applyFont="1" applyFill="1" applyBorder="1" applyAlignment="1">
      <alignment horizontal="left"/>
    </xf>
    <xf numFmtId="0" fontId="23" fillId="4" borderId="13" xfId="0" applyFont="1" applyFill="1" applyBorder="1" applyAlignment="1">
      <alignment horizontal="left"/>
    </xf>
    <xf numFmtId="0" fontId="23" fillId="4" borderId="0" xfId="0" applyFont="1" applyFill="1" applyBorder="1" applyAlignment="1">
      <alignment horizontal="left"/>
    </xf>
    <xf numFmtId="0" fontId="23" fillId="4" borderId="14" xfId="0" applyFont="1" applyFill="1" applyBorder="1" applyAlignment="1">
      <alignment horizontal="left"/>
    </xf>
    <xf numFmtId="0" fontId="0" fillId="9" borderId="4" xfId="0" applyFill="1" applyBorder="1"/>
    <xf numFmtId="167" fontId="0" fillId="9" borderId="8" xfId="1" applyNumberFormat="1" applyFont="1" applyFill="1" applyBorder="1"/>
    <xf numFmtId="9" fontId="0" fillId="9" borderId="9" xfId="0" applyNumberFormat="1" applyFill="1" applyBorder="1"/>
    <xf numFmtId="164" fontId="0" fillId="9" borderId="7" xfId="2" applyFont="1" applyFill="1" applyBorder="1"/>
    <xf numFmtId="164" fontId="0" fillId="9" borderId="3" xfId="2" applyFont="1" applyFill="1" applyBorder="1"/>
    <xf numFmtId="164" fontId="0" fillId="9" borderId="12" xfId="2" applyFont="1" applyFill="1" applyBorder="1"/>
    <xf numFmtId="9" fontId="0" fillId="9" borderId="3" xfId="3" applyFont="1" applyFill="1" applyBorder="1"/>
    <xf numFmtId="168" fontId="0" fillId="9" borderId="3" xfId="3" applyNumberFormat="1" applyFont="1" applyFill="1" applyBorder="1"/>
    <xf numFmtId="164" fontId="7" fillId="9" borderId="15" xfId="2" applyFont="1" applyFill="1" applyBorder="1"/>
    <xf numFmtId="164" fontId="0" fillId="9" borderId="15" xfId="2" applyFont="1" applyFill="1" applyBorder="1"/>
    <xf numFmtId="164" fontId="7" fillId="9" borderId="2" xfId="2" applyFont="1" applyFill="1" applyBorder="1"/>
    <xf numFmtId="0" fontId="0" fillId="0" borderId="8" xfId="0" applyBorder="1"/>
    <xf numFmtId="0" fontId="0" fillId="0" borderId="8" xfId="0" applyFill="1" applyBorder="1"/>
    <xf numFmtId="168" fontId="0" fillId="0" borderId="8" xfId="0" applyNumberFormat="1" applyFill="1" applyBorder="1"/>
    <xf numFmtId="0" fontId="0" fillId="9" borderId="8" xfId="0" applyFill="1" applyBorder="1"/>
    <xf numFmtId="168" fontId="0" fillId="9" borderId="8" xfId="0" applyNumberFormat="1" applyFill="1" applyBorder="1"/>
    <xf numFmtId="0" fontId="9" fillId="4" borderId="13" xfId="4" applyFont="1" applyFill="1" applyBorder="1" applyAlignment="1">
      <alignment horizontal="center" vertical="center" wrapText="1"/>
    </xf>
    <xf numFmtId="0" fontId="9" fillId="11" borderId="13" xfId="4" applyFont="1" applyFill="1" applyBorder="1" applyAlignment="1">
      <alignment horizontal="center" wrapText="1"/>
    </xf>
    <xf numFmtId="0" fontId="11" fillId="0" borderId="8" xfId="4" applyFont="1" applyBorder="1" applyAlignment="1">
      <alignment horizontal="left"/>
    </xf>
    <xf numFmtId="0" fontId="11" fillId="0" borderId="8" xfId="4" applyFont="1" applyBorder="1"/>
    <xf numFmtId="9" fontId="11" fillId="0" borderId="8" xfId="3" applyFont="1" applyBorder="1"/>
    <xf numFmtId="0" fontId="23" fillId="9" borderId="8" xfId="0" applyFont="1" applyFill="1" applyBorder="1"/>
    <xf numFmtId="178" fontId="23" fillId="9" borderId="8" xfId="1" applyNumberFormat="1" applyFont="1" applyFill="1" applyBorder="1"/>
    <xf numFmtId="0" fontId="21" fillId="9" borderId="8" xfId="0" applyFont="1" applyFill="1" applyBorder="1"/>
    <xf numFmtId="0" fontId="21" fillId="9" borderId="4" xfId="0" applyFont="1" applyFill="1" applyBorder="1"/>
    <xf numFmtId="0" fontId="3" fillId="9" borderId="0" xfId="0" applyFont="1" applyFill="1" applyAlignment="1">
      <alignment horizontal="center" vertical="center"/>
    </xf>
    <xf numFmtId="0" fontId="21" fillId="12" borderId="13" xfId="0" applyFont="1" applyFill="1" applyBorder="1" applyAlignment="1">
      <alignment horizontal="left"/>
    </xf>
    <xf numFmtId="0" fontId="21" fillId="12" borderId="0" xfId="0" applyFont="1" applyFill="1" applyBorder="1" applyAlignment="1">
      <alignment horizontal="left"/>
    </xf>
    <xf numFmtId="0" fontId="21" fillId="12" borderId="14" xfId="0" applyFont="1" applyFill="1" applyBorder="1" applyAlignment="1">
      <alignment horizontal="left"/>
    </xf>
    <xf numFmtId="0" fontId="22" fillId="12" borderId="4" xfId="0" applyFont="1" applyFill="1" applyBorder="1"/>
    <xf numFmtId="0" fontId="9" fillId="12" borderId="0" xfId="4" applyFont="1" applyFill="1" applyAlignment="1">
      <alignment horizontal="center" vertical="center"/>
    </xf>
    <xf numFmtId="10" fontId="6" fillId="9" borderId="16" xfId="0" applyNumberFormat="1" applyFont="1" applyFill="1" applyBorder="1"/>
  </cellXfs>
  <cellStyles count="6">
    <cellStyle name="Comma" xfId="1" builtinId="3"/>
    <cellStyle name="Currency" xfId="2" builtinId="4"/>
    <cellStyle name="Normal" xfId="0" builtinId="0"/>
    <cellStyle name="Percent" xfId="3" builtinId="5"/>
    <cellStyle name="Prozent 2" xfId="5" xr:uid="{76B96C24-B22D-4B81-830D-AEF1B4691836}"/>
    <cellStyle name="Standard 3" xfId="4" xr:uid="{A145C072-AC9B-4BF0-A2C4-D1D8640157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aavo Toiviainen" id="{60590E8F-138F-49E2-9B07-758443FD55FE}" userId="S::paavo.toiviainen@Toyota-FS.Com::fcd32a91-cb07-4862-a82c-0a02feb81f9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9" dT="2020-09-07T18:39:24.01" personId="{60590E8F-138F-49E2-9B07-758443FD55FE}" id="{04AEC4F1-0376-4AEA-BF08-9D4A466B614D}">
    <text>Relevant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3E4E-B940-4553-9875-67CEE7C9A9F9}">
  <dimension ref="A2:AB127"/>
  <sheetViews>
    <sheetView tabSelected="1" zoomScale="80" zoomScaleNormal="80" workbookViewId="0">
      <selection activeCell="AA51" sqref="AA51:AA52"/>
    </sheetView>
  </sheetViews>
  <sheetFormatPr defaultRowHeight="14.25" x14ac:dyDescent="0.2"/>
  <cols>
    <col min="2" max="2" width="2.75" customWidth="1"/>
    <col min="3" max="3" width="1.875" customWidth="1"/>
    <col min="4" max="4" width="4" customWidth="1"/>
    <col min="5" max="5" width="3.25" customWidth="1"/>
    <col min="6" max="6" width="14.125" customWidth="1"/>
    <col min="7" max="7" width="10.125" customWidth="1"/>
    <col min="8" max="8" width="17.625" bestFit="1" customWidth="1"/>
    <col min="9" max="10" width="13.25" style="44" bestFit="1" customWidth="1"/>
    <col min="11" max="11" width="11.375" style="44" bestFit="1" customWidth="1"/>
    <col min="14" max="14" width="3.25" customWidth="1"/>
    <col min="15" max="15" width="2" customWidth="1"/>
    <col min="16" max="16" width="1.75" customWidth="1"/>
    <col min="17" max="17" width="15.375" customWidth="1"/>
    <col min="18" max="18" width="11.375" bestFit="1" customWidth="1"/>
    <col min="21" max="22" width="13.5" style="26" bestFit="1" customWidth="1"/>
    <col min="23" max="23" width="12.75" style="26" bestFit="1" customWidth="1"/>
    <col min="26" max="26" width="12.875" customWidth="1"/>
    <col min="27" max="27" width="11.625" customWidth="1"/>
    <col min="28" max="28" width="10.125" bestFit="1" customWidth="1"/>
  </cols>
  <sheetData>
    <row r="2" spans="2:28" x14ac:dyDescent="0.2">
      <c r="F2" s="166" t="s">
        <v>104</v>
      </c>
      <c r="G2" s="166"/>
      <c r="H2" s="166"/>
    </row>
    <row r="3" spans="2:28" x14ac:dyDescent="0.2">
      <c r="F3" s="166"/>
      <c r="G3" s="166"/>
      <c r="H3" s="166"/>
    </row>
    <row r="4" spans="2:28" x14ac:dyDescent="0.2">
      <c r="B4" s="1"/>
      <c r="C4" s="1"/>
      <c r="D4" s="1"/>
      <c r="E4" s="1"/>
      <c r="F4" s="1"/>
      <c r="G4" s="1"/>
      <c r="H4" s="1"/>
      <c r="I4" s="45"/>
      <c r="J4" s="45"/>
      <c r="K4" s="45"/>
      <c r="L4" s="1"/>
      <c r="M4" s="1"/>
      <c r="N4" s="1"/>
      <c r="O4" s="1"/>
      <c r="P4" s="1"/>
      <c r="Q4" s="1"/>
      <c r="R4" s="1"/>
      <c r="S4" s="1"/>
      <c r="T4" s="1"/>
      <c r="U4" s="27"/>
      <c r="V4" s="27"/>
      <c r="W4" s="27"/>
    </row>
    <row r="5" spans="2:28" x14ac:dyDescent="0.2">
      <c r="F5" s="141">
        <v>3</v>
      </c>
      <c r="G5" s="2"/>
      <c r="H5" s="3" t="s">
        <v>0</v>
      </c>
      <c r="I5" s="46"/>
      <c r="J5" s="47"/>
      <c r="L5" s="5" t="s">
        <v>1</v>
      </c>
      <c r="M5" s="6"/>
      <c r="N5" s="7"/>
      <c r="O5" s="6"/>
      <c r="P5" s="6"/>
      <c r="Q5" s="144">
        <v>20400</v>
      </c>
      <c r="S5" s="2" t="s">
        <v>2</v>
      </c>
      <c r="T5" s="4"/>
      <c r="U5" s="28"/>
      <c r="V5" s="147">
        <v>0.18</v>
      </c>
      <c r="AB5" s="8"/>
    </row>
    <row r="6" spans="2:28" x14ac:dyDescent="0.2">
      <c r="F6" s="142">
        <v>20000</v>
      </c>
      <c r="G6" s="2"/>
      <c r="H6" s="3" t="s">
        <v>3</v>
      </c>
      <c r="I6" s="46"/>
      <c r="J6" s="47"/>
      <c r="L6" s="2" t="s">
        <v>4</v>
      </c>
      <c r="M6" s="3"/>
      <c r="N6" s="4"/>
      <c r="O6" s="3"/>
      <c r="P6" s="3"/>
      <c r="Q6" s="145">
        <v>0</v>
      </c>
      <c r="S6" s="2" t="s">
        <v>5</v>
      </c>
      <c r="T6" s="4"/>
      <c r="U6" s="28"/>
      <c r="V6" s="148"/>
    </row>
    <row r="7" spans="2:28" x14ac:dyDescent="0.2">
      <c r="F7" s="143">
        <v>0.35</v>
      </c>
      <c r="G7" s="2"/>
      <c r="H7" s="3" t="s">
        <v>6</v>
      </c>
      <c r="I7" s="46"/>
      <c r="J7" s="47"/>
      <c r="L7" s="9" t="s">
        <v>7</v>
      </c>
      <c r="M7" s="10"/>
      <c r="N7" s="11"/>
      <c r="O7" s="10"/>
      <c r="P7" s="10"/>
      <c r="Q7" s="146">
        <f>+Q5+Q6</f>
        <v>20400</v>
      </c>
      <c r="S7" s="2" t="s">
        <v>8</v>
      </c>
      <c r="T7" s="4"/>
      <c r="U7" s="28"/>
      <c r="V7" s="147">
        <v>0.54</v>
      </c>
    </row>
    <row r="9" spans="2:28" ht="18" x14ac:dyDescent="0.25">
      <c r="B9" s="12" t="s">
        <v>77</v>
      </c>
      <c r="C9" s="6"/>
      <c r="D9" s="6"/>
      <c r="E9" s="6"/>
      <c r="F9" s="6"/>
      <c r="G9" s="6"/>
      <c r="H9" s="6"/>
      <c r="I9" s="48" t="s">
        <v>9</v>
      </c>
      <c r="J9" s="48" t="s">
        <v>10</v>
      </c>
      <c r="K9" s="49" t="s">
        <v>11</v>
      </c>
      <c r="N9" s="12" t="s">
        <v>78</v>
      </c>
      <c r="O9" s="6"/>
      <c r="P9" s="6"/>
      <c r="Q9" s="6"/>
      <c r="R9" s="6"/>
      <c r="S9" s="6"/>
      <c r="T9" s="6"/>
      <c r="U9" s="30" t="s">
        <v>9</v>
      </c>
      <c r="V9" s="30" t="s">
        <v>10</v>
      </c>
      <c r="W9" s="31" t="s">
        <v>11</v>
      </c>
    </row>
    <row r="10" spans="2:28" x14ac:dyDescent="0.2">
      <c r="B10" s="13"/>
      <c r="K10" s="50"/>
      <c r="N10" s="13"/>
      <c r="W10" s="32"/>
    </row>
    <row r="11" spans="2:28" x14ac:dyDescent="0.2">
      <c r="B11" s="13"/>
      <c r="D11" s="10" t="s">
        <v>12</v>
      </c>
      <c r="E11" s="10"/>
      <c r="F11" s="10"/>
      <c r="G11" s="10"/>
      <c r="H11" s="10"/>
      <c r="I11" s="51">
        <f>+I12+I24</f>
        <v>342.66666666666669</v>
      </c>
      <c r="J11" s="51">
        <f>+J12+J24</f>
        <v>310.14006666666671</v>
      </c>
      <c r="K11" s="52">
        <f>+I11-J11</f>
        <v>32.526599999999974</v>
      </c>
      <c r="N11" s="13"/>
      <c r="P11" s="10" t="s">
        <v>12</v>
      </c>
      <c r="Q11" s="10"/>
      <c r="R11" s="10"/>
      <c r="S11" s="10"/>
      <c r="T11" s="10"/>
      <c r="U11" s="33">
        <f>+I11*12</f>
        <v>4112</v>
      </c>
      <c r="V11" s="33">
        <f>+J11*12</f>
        <v>3721.6808000000005</v>
      </c>
      <c r="W11" s="34">
        <f>+U11-V11</f>
        <v>390.31919999999946</v>
      </c>
    </row>
    <row r="12" spans="2:28" x14ac:dyDescent="0.2">
      <c r="B12" s="13"/>
      <c r="E12" s="10" t="s">
        <v>13</v>
      </c>
      <c r="F12" s="10"/>
      <c r="G12" s="10"/>
      <c r="H12" s="10"/>
      <c r="I12" s="51">
        <f>+SUM(I13:I22)</f>
        <v>50</v>
      </c>
      <c r="J12" s="51">
        <f>+SUM(J13:J22)</f>
        <v>25</v>
      </c>
      <c r="K12" s="52">
        <f>+SUM(I13:I22)-SUM(J13:J22)</f>
        <v>25</v>
      </c>
      <c r="N12" s="13"/>
      <c r="Q12" s="10" t="s">
        <v>13</v>
      </c>
      <c r="R12" s="10"/>
      <c r="S12" s="10"/>
      <c r="T12" s="10"/>
      <c r="U12" s="33">
        <f t="shared" ref="U12:V40" si="0">+I12*12</f>
        <v>600</v>
      </c>
      <c r="V12" s="33">
        <f t="shared" si="0"/>
        <v>300</v>
      </c>
      <c r="W12" s="34">
        <f>+U12-V12</f>
        <v>300</v>
      </c>
    </row>
    <row r="13" spans="2:28" x14ac:dyDescent="0.2">
      <c r="B13" s="13"/>
      <c r="F13" s="14" t="s">
        <v>14</v>
      </c>
      <c r="G13" s="14"/>
      <c r="H13" s="15"/>
      <c r="I13" s="149">
        <v>10</v>
      </c>
      <c r="J13" s="149">
        <v>5</v>
      </c>
      <c r="K13" s="125"/>
      <c r="N13" s="13"/>
      <c r="R13" s="14" t="s">
        <v>14</v>
      </c>
      <c r="S13" s="14"/>
      <c r="T13" s="15"/>
      <c r="U13" s="35">
        <f t="shared" si="0"/>
        <v>120</v>
      </c>
      <c r="V13" s="53"/>
      <c r="W13" s="128"/>
    </row>
    <row r="14" spans="2:28" x14ac:dyDescent="0.2">
      <c r="B14" s="13"/>
      <c r="F14" s="16" t="s">
        <v>15</v>
      </c>
      <c r="G14" s="16"/>
      <c r="H14" s="17"/>
      <c r="I14" s="149">
        <v>10</v>
      </c>
      <c r="J14" s="149">
        <v>5</v>
      </c>
      <c r="K14" s="126"/>
      <c r="N14" s="13"/>
      <c r="R14" s="16" t="s">
        <v>16</v>
      </c>
      <c r="S14" s="16"/>
      <c r="T14" s="17"/>
      <c r="U14" s="35">
        <f t="shared" si="0"/>
        <v>120</v>
      </c>
      <c r="V14" s="53"/>
      <c r="W14" s="129"/>
    </row>
    <row r="15" spans="2:28" x14ac:dyDescent="0.2">
      <c r="B15" s="13"/>
      <c r="F15" s="16" t="s">
        <v>17</v>
      </c>
      <c r="G15" s="16"/>
      <c r="H15" s="17"/>
      <c r="I15" s="149">
        <v>10</v>
      </c>
      <c r="J15" s="149">
        <v>5</v>
      </c>
      <c r="K15" s="126"/>
      <c r="N15" s="13"/>
      <c r="R15" s="16" t="s">
        <v>17</v>
      </c>
      <c r="S15" s="16"/>
      <c r="T15" s="17"/>
      <c r="U15" s="35">
        <f t="shared" si="0"/>
        <v>120</v>
      </c>
      <c r="V15" s="53"/>
      <c r="W15" s="129"/>
    </row>
    <row r="16" spans="2:28" x14ac:dyDescent="0.2">
      <c r="B16" s="13"/>
      <c r="F16" s="16" t="s">
        <v>18</v>
      </c>
      <c r="G16" s="16"/>
      <c r="H16" s="17"/>
      <c r="I16" s="149">
        <v>10</v>
      </c>
      <c r="J16" s="150">
        <v>5</v>
      </c>
      <c r="K16" s="126"/>
      <c r="N16" s="13"/>
      <c r="R16" s="16" t="s">
        <v>18</v>
      </c>
      <c r="S16" s="16"/>
      <c r="T16" s="17"/>
      <c r="U16" s="35">
        <f t="shared" si="0"/>
        <v>120</v>
      </c>
      <c r="V16" s="53"/>
      <c r="W16" s="129"/>
    </row>
    <row r="17" spans="2:23" x14ac:dyDescent="0.2">
      <c r="B17" s="13"/>
      <c r="F17" s="16" t="s">
        <v>19</v>
      </c>
      <c r="G17" s="16"/>
      <c r="H17" s="17"/>
      <c r="I17" s="149">
        <v>10</v>
      </c>
      <c r="J17" s="150">
        <v>5</v>
      </c>
      <c r="K17" s="126"/>
      <c r="N17" s="13"/>
      <c r="R17" s="16" t="s">
        <v>20</v>
      </c>
      <c r="S17" s="16"/>
      <c r="T17" s="17"/>
      <c r="U17" s="35">
        <f t="shared" si="0"/>
        <v>120</v>
      </c>
      <c r="V17" s="53">
        <f t="shared" si="0"/>
        <v>60</v>
      </c>
      <c r="W17" s="129"/>
    </row>
    <row r="18" spans="2:23" x14ac:dyDescent="0.2">
      <c r="B18" s="13"/>
      <c r="F18" s="16" t="s">
        <v>21</v>
      </c>
      <c r="G18" s="16"/>
      <c r="H18" s="17"/>
      <c r="I18" s="149"/>
      <c r="J18" s="150"/>
      <c r="K18" s="126"/>
      <c r="N18" s="13"/>
      <c r="R18" s="16" t="s">
        <v>21</v>
      </c>
      <c r="S18" s="16"/>
      <c r="T18" s="17"/>
      <c r="U18" s="35"/>
      <c r="V18" s="53"/>
      <c r="W18" s="129"/>
    </row>
    <row r="19" spans="2:23" x14ac:dyDescent="0.2">
      <c r="B19" s="13"/>
      <c r="F19" s="16" t="s">
        <v>22</v>
      </c>
      <c r="G19" s="16"/>
      <c r="H19" s="17"/>
      <c r="I19" s="149"/>
      <c r="J19" s="150"/>
      <c r="K19" s="126"/>
      <c r="N19" s="13"/>
      <c r="R19" s="16" t="s">
        <v>22</v>
      </c>
      <c r="S19" s="16"/>
      <c r="T19" s="17"/>
      <c r="U19" s="35"/>
      <c r="V19" s="53"/>
      <c r="W19" s="129"/>
    </row>
    <row r="20" spans="2:23" x14ac:dyDescent="0.2">
      <c r="B20" s="13"/>
      <c r="F20" s="16" t="s">
        <v>23</v>
      </c>
      <c r="G20" s="16"/>
      <c r="H20" s="17"/>
      <c r="I20" s="149"/>
      <c r="J20" s="149"/>
      <c r="K20" s="126"/>
      <c r="N20" s="13"/>
      <c r="R20" s="16" t="str">
        <f>+F20</f>
        <v>Parking</v>
      </c>
      <c r="S20" s="16"/>
      <c r="T20" s="17"/>
      <c r="U20" s="35">
        <f>+I20*12</f>
        <v>0</v>
      </c>
      <c r="V20" s="53"/>
      <c r="W20" s="129"/>
    </row>
    <row r="21" spans="2:23" x14ac:dyDescent="0.2">
      <c r="B21" s="13"/>
      <c r="F21" s="16" t="s">
        <v>24</v>
      </c>
      <c r="G21" s="16"/>
      <c r="H21" s="17"/>
      <c r="I21" s="149"/>
      <c r="J21" s="149"/>
      <c r="K21" s="126"/>
      <c r="N21" s="13"/>
      <c r="R21" s="16" t="s">
        <v>24</v>
      </c>
      <c r="S21" s="16"/>
      <c r="T21" s="17"/>
      <c r="U21" s="35">
        <f t="shared" si="0"/>
        <v>0</v>
      </c>
      <c r="V21" s="53"/>
      <c r="W21" s="129"/>
    </row>
    <row r="22" spans="2:23" x14ac:dyDescent="0.2">
      <c r="B22" s="13"/>
      <c r="F22" s="16" t="s">
        <v>25</v>
      </c>
      <c r="G22" s="16"/>
      <c r="H22" s="17"/>
      <c r="I22" s="149"/>
      <c r="J22" s="149"/>
      <c r="K22" s="127"/>
      <c r="N22" s="13"/>
      <c r="R22" s="16" t="s">
        <v>26</v>
      </c>
      <c r="S22" s="16"/>
      <c r="T22" s="17"/>
      <c r="U22" s="35">
        <f t="shared" si="0"/>
        <v>0</v>
      </c>
      <c r="V22" s="53"/>
      <c r="W22" s="130"/>
    </row>
    <row r="23" spans="2:23" x14ac:dyDescent="0.2">
      <c r="B23" s="13"/>
      <c r="K23" s="50"/>
      <c r="N23" s="13"/>
      <c r="W23" s="32"/>
    </row>
    <row r="24" spans="2:23" x14ac:dyDescent="0.2">
      <c r="B24" s="13"/>
      <c r="E24" s="10" t="s">
        <v>27</v>
      </c>
      <c r="F24" s="10"/>
      <c r="G24" s="10"/>
      <c r="H24" s="10"/>
      <c r="I24" s="51">
        <f>+SUM(I25:I28)</f>
        <v>292.66666666666669</v>
      </c>
      <c r="J24" s="51">
        <f>+SUM(J25:J28)</f>
        <v>285.14006666666671</v>
      </c>
      <c r="K24" s="52">
        <f>+I25+I26+I27+I28-J25-J26-J27-J28</f>
        <v>7.526600000000002</v>
      </c>
      <c r="N24" s="13"/>
      <c r="Q24" s="10" t="s">
        <v>27</v>
      </c>
      <c r="R24" s="10"/>
      <c r="S24" s="10"/>
      <c r="T24" s="10"/>
      <c r="U24" s="33">
        <f>+SUM(U25:U28)</f>
        <v>3512</v>
      </c>
      <c r="V24" s="33">
        <f>+SUM(V25:V28)</f>
        <v>3421.6808000000001</v>
      </c>
      <c r="W24" s="34">
        <f>+U24-V24</f>
        <v>90.31919999999991</v>
      </c>
    </row>
    <row r="25" spans="2:23" x14ac:dyDescent="0.2">
      <c r="B25" s="13"/>
      <c r="F25" s="14" t="s">
        <v>28</v>
      </c>
      <c r="G25" s="14"/>
      <c r="H25" s="15"/>
      <c r="I25" s="53">
        <f>+Q5*(1-V7)/(F5*12)</f>
        <v>260.66666666666669</v>
      </c>
      <c r="J25" s="53">
        <f>+I25</f>
        <v>260.66666666666669</v>
      </c>
      <c r="K25" s="54"/>
      <c r="N25" s="13"/>
      <c r="R25" s="14" t="s">
        <v>29</v>
      </c>
      <c r="S25" s="14"/>
      <c r="T25" s="15"/>
      <c r="U25" s="35">
        <f t="shared" si="0"/>
        <v>3128</v>
      </c>
      <c r="V25" s="35">
        <f t="shared" si="0"/>
        <v>3128</v>
      </c>
      <c r="W25" s="36"/>
    </row>
    <row r="26" spans="2:23" x14ac:dyDescent="0.2">
      <c r="B26" s="13"/>
      <c r="F26" s="16" t="s">
        <v>30</v>
      </c>
      <c r="G26" s="172">
        <v>3.85E-2</v>
      </c>
      <c r="H26" s="17"/>
      <c r="I26" s="53">
        <f>ROUND(+Q7*(1-V5)*G26*F5/60,0)</f>
        <v>32</v>
      </c>
      <c r="J26" s="53"/>
      <c r="K26" s="55"/>
      <c r="N26" s="13"/>
      <c r="R26" s="16" t="s">
        <v>30</v>
      </c>
      <c r="S26" s="18">
        <v>3.85E-2</v>
      </c>
      <c r="T26" s="17"/>
      <c r="U26" s="35">
        <f t="shared" si="0"/>
        <v>384</v>
      </c>
      <c r="V26" s="35"/>
      <c r="W26" s="37"/>
    </row>
    <row r="27" spans="2:23" x14ac:dyDescent="0.2">
      <c r="B27" s="13"/>
      <c r="F27" s="16" t="s">
        <v>31</v>
      </c>
      <c r="G27" s="172">
        <v>1.8499999999999999E-2</v>
      </c>
      <c r="H27" s="17"/>
      <c r="I27" s="53"/>
      <c r="J27" s="53">
        <f>+Q7*(1-V5)*G27*F5/60</f>
        <v>15.473399999999998</v>
      </c>
      <c r="K27" s="55"/>
      <c r="N27" s="13"/>
      <c r="R27" s="16" t="s">
        <v>31</v>
      </c>
      <c r="S27" s="18">
        <v>1.8499999999999999E-2</v>
      </c>
      <c r="T27" s="17"/>
      <c r="U27" s="35">
        <f t="shared" si="0"/>
        <v>0</v>
      </c>
      <c r="V27" s="35">
        <f t="shared" si="0"/>
        <v>185.68079999999998</v>
      </c>
      <c r="W27" s="37"/>
    </row>
    <row r="28" spans="2:23" x14ac:dyDescent="0.2">
      <c r="B28" s="13"/>
      <c r="F28" s="16" t="s">
        <v>82</v>
      </c>
      <c r="G28" s="172">
        <v>1.0999999999999999E-2</v>
      </c>
      <c r="H28" s="17"/>
      <c r="I28" s="53"/>
      <c r="J28" s="53">
        <f>ROUND((+Q7*(1-V5)*F5/60*G28),0)</f>
        <v>9</v>
      </c>
      <c r="K28" s="55"/>
      <c r="N28" s="13"/>
      <c r="R28" s="16" t="s">
        <v>82</v>
      </c>
      <c r="S28" s="18">
        <v>1.0999999999999999E-2</v>
      </c>
      <c r="T28" s="17"/>
      <c r="U28" s="35">
        <f t="shared" si="0"/>
        <v>0</v>
      </c>
      <c r="V28" s="35">
        <f t="shared" si="0"/>
        <v>108</v>
      </c>
      <c r="W28" s="37"/>
    </row>
    <row r="29" spans="2:23" x14ac:dyDescent="0.2">
      <c r="B29" s="13"/>
      <c r="K29" s="50"/>
      <c r="N29" s="13"/>
      <c r="W29" s="32"/>
    </row>
    <row r="30" spans="2:23" x14ac:dyDescent="0.2">
      <c r="B30" s="13"/>
      <c r="D30" s="10"/>
      <c r="E30" s="10"/>
      <c r="F30" s="10"/>
      <c r="G30" s="10"/>
      <c r="H30" s="10"/>
      <c r="I30" s="51"/>
      <c r="J30" s="51"/>
      <c r="K30" s="52"/>
      <c r="N30" s="13"/>
      <c r="P30" s="10"/>
      <c r="Q30" s="10"/>
      <c r="R30" s="10"/>
      <c r="S30" s="10"/>
      <c r="T30" s="10"/>
      <c r="U30" s="33"/>
      <c r="V30" s="33"/>
      <c r="W30" s="34"/>
    </row>
    <row r="31" spans="2:23" x14ac:dyDescent="0.2">
      <c r="B31" s="13"/>
      <c r="K31" s="50"/>
      <c r="N31" s="13"/>
      <c r="W31" s="32"/>
    </row>
    <row r="32" spans="2:23" x14ac:dyDescent="0.2">
      <c r="B32" s="13"/>
      <c r="D32" s="10"/>
      <c r="E32" s="10"/>
      <c r="F32" s="10"/>
      <c r="G32" s="10"/>
      <c r="H32" s="10"/>
      <c r="I32" s="51"/>
      <c r="J32" s="51"/>
      <c r="K32" s="52"/>
      <c r="N32" s="13"/>
      <c r="P32" s="10"/>
      <c r="Q32" s="10"/>
      <c r="R32" s="10"/>
      <c r="S32" s="10"/>
      <c r="T32" s="10"/>
      <c r="U32" s="33"/>
      <c r="V32" s="33"/>
      <c r="W32" s="34"/>
    </row>
    <row r="33" spans="1:23" x14ac:dyDescent="0.2">
      <c r="B33" s="13"/>
      <c r="K33" s="50"/>
      <c r="N33" s="13"/>
      <c r="W33" s="32"/>
    </row>
    <row r="34" spans="1:23" x14ac:dyDescent="0.2">
      <c r="B34" s="13"/>
      <c r="D34" s="10" t="s">
        <v>34</v>
      </c>
      <c r="E34" s="10"/>
      <c r="F34" s="10"/>
      <c r="G34" s="10"/>
      <c r="H34" s="10"/>
      <c r="I34" s="51"/>
      <c r="J34" s="51"/>
      <c r="K34" s="52">
        <f>+I34-J34</f>
        <v>0</v>
      </c>
      <c r="N34" s="13"/>
      <c r="P34" s="10" t="s">
        <v>34</v>
      </c>
      <c r="Q34" s="10"/>
      <c r="R34" s="10"/>
      <c r="S34" s="10"/>
      <c r="T34" s="10"/>
      <c r="U34" s="33"/>
      <c r="V34" s="33"/>
      <c r="W34" s="34">
        <f>+U34-V34</f>
        <v>0</v>
      </c>
    </row>
    <row r="35" spans="1:23" x14ac:dyDescent="0.2">
      <c r="B35" s="13"/>
      <c r="K35" s="50"/>
      <c r="N35" s="13"/>
      <c r="U35" s="26">
        <f t="shared" si="0"/>
        <v>0</v>
      </c>
      <c r="V35" s="26">
        <f t="shared" si="0"/>
        <v>0</v>
      </c>
      <c r="W35" s="32"/>
    </row>
    <row r="36" spans="1:23" ht="15" x14ac:dyDescent="0.25">
      <c r="B36" s="19" t="s">
        <v>35</v>
      </c>
      <c r="C36" s="20"/>
      <c r="D36" s="20"/>
      <c r="E36" s="20"/>
      <c r="F36" s="20"/>
      <c r="G36" s="20"/>
      <c r="H36" s="20"/>
      <c r="I36" s="56">
        <f>I11</f>
        <v>342.66666666666669</v>
      </c>
      <c r="J36" s="56">
        <f t="shared" ref="J36:K36" si="1">J11</f>
        <v>310.14006666666671</v>
      </c>
      <c r="K36" s="57">
        <f t="shared" si="1"/>
        <v>32.526599999999974</v>
      </c>
      <c r="N36" s="19" t="s">
        <v>35</v>
      </c>
      <c r="O36" s="20"/>
      <c r="P36" s="20"/>
      <c r="Q36" s="20"/>
      <c r="R36" s="20"/>
      <c r="S36" s="20"/>
      <c r="T36" s="20"/>
      <c r="U36" s="38">
        <f t="shared" si="0"/>
        <v>4112</v>
      </c>
      <c r="V36" s="38">
        <f>+J36*12</f>
        <v>3721.6808000000005</v>
      </c>
      <c r="W36" s="39">
        <f>+W34+W32+W30+W11</f>
        <v>390.31919999999946</v>
      </c>
    </row>
    <row r="37" spans="1:23" x14ac:dyDescent="0.2">
      <c r="B37" s="13"/>
      <c r="K37" s="50"/>
      <c r="N37" s="13"/>
      <c r="W37" s="32"/>
    </row>
    <row r="38" spans="1:23" x14ac:dyDescent="0.2">
      <c r="B38" s="13"/>
      <c r="C38" s="3" t="s">
        <v>36</v>
      </c>
      <c r="D38" s="3"/>
      <c r="E38" s="3"/>
      <c r="F38" s="3"/>
      <c r="G38" s="3"/>
      <c r="H38" s="3"/>
      <c r="I38" s="46"/>
      <c r="J38" s="151">
        <v>352</v>
      </c>
      <c r="K38" s="47">
        <f>+J38</f>
        <v>352</v>
      </c>
      <c r="N38" s="13"/>
      <c r="O38" s="3" t="s">
        <v>36</v>
      </c>
      <c r="P38" s="3"/>
      <c r="Q38" s="3"/>
      <c r="R38" s="3"/>
      <c r="S38" s="3"/>
      <c r="T38" s="3"/>
      <c r="U38" s="28">
        <f t="shared" si="0"/>
        <v>0</v>
      </c>
      <c r="V38" s="28">
        <f t="shared" si="0"/>
        <v>4224</v>
      </c>
      <c r="W38" s="29"/>
    </row>
    <row r="39" spans="1:23" x14ac:dyDescent="0.2">
      <c r="B39" s="13"/>
      <c r="C39" t="s">
        <v>37</v>
      </c>
      <c r="K39" s="50"/>
      <c r="N39" s="13"/>
      <c r="O39" t="s">
        <v>37</v>
      </c>
      <c r="W39" s="32"/>
    </row>
    <row r="40" spans="1:23" ht="15" x14ac:dyDescent="0.25">
      <c r="B40" s="19" t="s">
        <v>38</v>
      </c>
      <c r="C40" s="20"/>
      <c r="D40" s="20"/>
      <c r="E40" s="20"/>
      <c r="F40" s="20"/>
      <c r="G40" s="20"/>
      <c r="H40" s="20"/>
      <c r="I40" s="56">
        <f>+I36+I38</f>
        <v>342.66666666666669</v>
      </c>
      <c r="J40" s="56">
        <f>+J36+J38</f>
        <v>662.14006666666671</v>
      </c>
      <c r="K40" s="57">
        <f>+K36-K38</f>
        <v>-319.47340000000003</v>
      </c>
      <c r="N40" s="19" t="s">
        <v>38</v>
      </c>
      <c r="O40" s="20"/>
      <c r="P40" s="20"/>
      <c r="Q40" s="20"/>
      <c r="R40" s="20"/>
      <c r="S40" s="20"/>
      <c r="T40" s="20"/>
      <c r="U40" s="38">
        <f t="shared" si="0"/>
        <v>4112</v>
      </c>
      <c r="V40" s="38">
        <f t="shared" si="0"/>
        <v>7945.6808000000001</v>
      </c>
      <c r="W40" s="39">
        <f>+W36+W38</f>
        <v>390.31919999999946</v>
      </c>
    </row>
    <row r="41" spans="1:23" ht="15" x14ac:dyDescent="0.25">
      <c r="B41" s="21"/>
      <c r="C41" s="22"/>
      <c r="D41" s="22"/>
      <c r="E41" s="22"/>
      <c r="F41" s="22"/>
      <c r="G41" s="22"/>
      <c r="H41" s="22"/>
      <c r="I41" s="58"/>
      <c r="J41" s="58"/>
      <c r="K41" s="59"/>
      <c r="N41" s="21"/>
      <c r="O41" s="22"/>
      <c r="P41" s="22"/>
      <c r="Q41" s="22"/>
      <c r="R41" s="22"/>
      <c r="S41" s="22"/>
      <c r="T41" s="22"/>
      <c r="U41" s="40"/>
      <c r="V41" s="40"/>
      <c r="W41" s="41"/>
    </row>
    <row r="42" spans="1:23" ht="15" x14ac:dyDescent="0.25">
      <c r="B42" s="23"/>
      <c r="C42" s="24"/>
      <c r="D42" s="24"/>
      <c r="E42" s="24"/>
      <c r="F42" s="24"/>
      <c r="G42" s="24"/>
      <c r="H42" s="24"/>
      <c r="I42" s="60">
        <f>+ROUND(I40*$H$3,0)</f>
        <v>0</v>
      </c>
      <c r="J42" s="60">
        <f>+ROUND(J40*$H$3,0)</f>
        <v>0</v>
      </c>
      <c r="K42" s="61">
        <f>+ROUND(K40*$H$3,0)</f>
        <v>0</v>
      </c>
      <c r="N42" s="25"/>
      <c r="O42" s="24"/>
      <c r="P42" s="24"/>
      <c r="Q42" s="24"/>
      <c r="R42" s="24"/>
      <c r="S42" s="24"/>
      <c r="T42" s="24"/>
      <c r="U42" s="42">
        <f>+ROUND(U40*$H$3,0)</f>
        <v>0</v>
      </c>
      <c r="V42" s="42">
        <f>+ROUND(V40*$H$3,0)</f>
        <v>0</v>
      </c>
      <c r="W42" s="43">
        <f>+ROUND(W40*$H$3,0)</f>
        <v>0</v>
      </c>
    </row>
    <row r="45" spans="1:23" x14ac:dyDescent="0.2">
      <c r="A45" s="111"/>
      <c r="B45" s="111"/>
      <c r="C45" s="111"/>
      <c r="D45" s="111"/>
      <c r="E45" s="111"/>
      <c r="F45" s="111"/>
      <c r="G45" s="111"/>
      <c r="H45" s="111"/>
      <c r="I45" s="112"/>
      <c r="J45" s="112"/>
      <c r="K45" s="112"/>
      <c r="L45" s="111"/>
      <c r="M45" s="111"/>
      <c r="N45" s="113"/>
    </row>
    <row r="46" spans="1:23" ht="18" x14ac:dyDescent="0.25">
      <c r="A46" s="111"/>
      <c r="B46" s="114"/>
      <c r="C46" s="111"/>
      <c r="D46" s="111"/>
      <c r="E46" s="111"/>
      <c r="F46" s="111"/>
      <c r="G46" s="111"/>
      <c r="H46" s="111"/>
      <c r="I46" s="112"/>
      <c r="J46" s="112"/>
      <c r="K46" s="112"/>
      <c r="L46" s="111"/>
      <c r="M46" s="111"/>
      <c r="N46" s="111"/>
    </row>
    <row r="47" spans="1:23" x14ac:dyDescent="0.2">
      <c r="A47" s="111"/>
      <c r="F47" s="141">
        <v>3</v>
      </c>
      <c r="G47" s="2"/>
      <c r="H47" s="3" t="s">
        <v>0</v>
      </c>
      <c r="I47" s="46"/>
      <c r="J47" s="47"/>
      <c r="L47" s="5" t="s">
        <v>1</v>
      </c>
      <c r="M47" s="6"/>
      <c r="N47" s="7"/>
      <c r="O47" s="6"/>
      <c r="P47" s="6"/>
      <c r="Q47" s="144">
        <v>20400</v>
      </c>
      <c r="S47" s="2" t="s">
        <v>2</v>
      </c>
      <c r="T47" s="4"/>
      <c r="U47" s="28"/>
      <c r="V47" s="147">
        <v>0.18</v>
      </c>
    </row>
    <row r="48" spans="1:23" x14ac:dyDescent="0.2">
      <c r="A48" s="111"/>
      <c r="F48" s="142">
        <v>20000</v>
      </c>
      <c r="G48" s="2"/>
      <c r="H48" s="3" t="s">
        <v>3</v>
      </c>
      <c r="I48" s="46"/>
      <c r="J48" s="47"/>
      <c r="L48" s="2" t="s">
        <v>4</v>
      </c>
      <c r="M48" s="3"/>
      <c r="N48" s="4"/>
      <c r="O48" s="3"/>
      <c r="P48" s="3"/>
      <c r="Q48" s="145">
        <v>0</v>
      </c>
      <c r="S48" s="2" t="s">
        <v>5</v>
      </c>
      <c r="T48" s="4"/>
      <c r="U48" s="28"/>
      <c r="V48" s="148"/>
    </row>
    <row r="49" spans="1:23" x14ac:dyDescent="0.2">
      <c r="A49" s="111"/>
      <c r="F49" s="143">
        <v>0.35</v>
      </c>
      <c r="G49" s="2"/>
      <c r="H49" s="3" t="s">
        <v>6</v>
      </c>
      <c r="I49" s="46"/>
      <c r="J49" s="47"/>
      <c r="L49" s="9" t="s">
        <v>7</v>
      </c>
      <c r="M49" s="10"/>
      <c r="N49" s="11"/>
      <c r="O49" s="10"/>
      <c r="P49" s="10"/>
      <c r="Q49" s="146">
        <f>+Q47+Q48</f>
        <v>20400</v>
      </c>
      <c r="S49" s="2" t="s">
        <v>8</v>
      </c>
      <c r="T49" s="4"/>
      <c r="U49" s="28"/>
      <c r="V49" s="147">
        <v>0.54</v>
      </c>
    </row>
    <row r="50" spans="1:23" ht="14.25" customHeight="1" x14ac:dyDescent="0.2">
      <c r="A50" s="111"/>
    </row>
    <row r="51" spans="1:23" ht="14.25" customHeight="1" x14ac:dyDescent="0.25">
      <c r="A51" s="111"/>
      <c r="B51" s="121" t="s">
        <v>80</v>
      </c>
      <c r="C51" s="3"/>
      <c r="D51" s="3"/>
      <c r="E51" s="3"/>
      <c r="F51" s="3"/>
      <c r="G51" s="3"/>
      <c r="H51" s="3"/>
      <c r="I51" s="46"/>
      <c r="J51" s="46"/>
      <c r="K51" s="47"/>
      <c r="O51" s="111"/>
      <c r="P51" s="111"/>
      <c r="Q51" s="114" t="s">
        <v>90</v>
      </c>
      <c r="R51" s="111"/>
      <c r="S51" s="111"/>
      <c r="T51" s="111"/>
      <c r="U51" s="117"/>
      <c r="V51" s="117"/>
      <c r="W51" s="117"/>
    </row>
    <row r="52" spans="1:23" ht="14.25" customHeight="1" x14ac:dyDescent="0.25">
      <c r="A52" s="111"/>
      <c r="B52" s="12"/>
      <c r="C52" s="6"/>
      <c r="D52" s="6"/>
      <c r="E52" s="6"/>
      <c r="F52" s="6"/>
      <c r="G52" s="6"/>
      <c r="H52" s="6"/>
      <c r="I52" s="48" t="s">
        <v>9</v>
      </c>
      <c r="J52" s="48" t="s">
        <v>10</v>
      </c>
      <c r="K52" s="49" t="s">
        <v>11</v>
      </c>
      <c r="N52" s="114"/>
      <c r="O52" s="111"/>
      <c r="P52" s="111"/>
      <c r="Q52" s="111"/>
      <c r="R52" s="111"/>
      <c r="S52" s="111"/>
      <c r="T52" s="111"/>
      <c r="U52" s="117"/>
      <c r="V52" s="117"/>
      <c r="W52" s="117"/>
    </row>
    <row r="53" spans="1:23" ht="14.25" customHeight="1" x14ac:dyDescent="0.2">
      <c r="A53" s="111"/>
      <c r="B53" s="13"/>
      <c r="C53" s="109"/>
      <c r="D53" s="109"/>
      <c r="E53" s="109"/>
      <c r="F53" s="109"/>
      <c r="G53" s="109"/>
      <c r="H53" s="109"/>
      <c r="I53" s="110"/>
      <c r="J53" s="110"/>
      <c r="K53" s="50"/>
      <c r="N53" s="111"/>
      <c r="O53" s="111"/>
      <c r="P53" s="111"/>
      <c r="Q53" s="152"/>
      <c r="R53" s="152" t="s">
        <v>92</v>
      </c>
      <c r="S53" s="152" t="s">
        <v>93</v>
      </c>
      <c r="T53" s="153" t="s">
        <v>94</v>
      </c>
      <c r="U53" s="154" t="s">
        <v>95</v>
      </c>
      <c r="V53" s="117"/>
      <c r="W53" s="117"/>
    </row>
    <row r="54" spans="1:23" ht="14.25" customHeight="1" x14ac:dyDescent="0.2">
      <c r="A54" s="111"/>
      <c r="B54" s="13"/>
      <c r="C54" s="109"/>
      <c r="D54" s="10" t="s">
        <v>12</v>
      </c>
      <c r="E54" s="10"/>
      <c r="F54" s="10"/>
      <c r="G54" s="10"/>
      <c r="H54" s="10"/>
      <c r="I54" s="51">
        <f>+I55+I67</f>
        <v>342.66666666666669</v>
      </c>
      <c r="J54" s="51">
        <f>+J55+J67</f>
        <v>310.14006666666671</v>
      </c>
      <c r="K54" s="52">
        <f>+I54-J54</f>
        <v>32.526599999999974</v>
      </c>
      <c r="N54" s="111"/>
      <c r="O54" s="111"/>
      <c r="P54" s="111"/>
      <c r="Q54" s="152" t="s">
        <v>88</v>
      </c>
      <c r="R54" s="155"/>
      <c r="S54" s="155"/>
      <c r="T54" s="155"/>
      <c r="U54" s="156"/>
      <c r="V54" s="117"/>
      <c r="W54" s="117"/>
    </row>
    <row r="55" spans="1:23" ht="14.25" customHeight="1" x14ac:dyDescent="0.2">
      <c r="A55" s="111"/>
      <c r="B55" s="13"/>
      <c r="C55" s="109"/>
      <c r="E55" s="10" t="s">
        <v>13</v>
      </c>
      <c r="F55" s="10"/>
      <c r="G55" s="10"/>
      <c r="H55" s="10"/>
      <c r="I55" s="51">
        <f>+SUM(I56:I65)</f>
        <v>50</v>
      </c>
      <c r="J55" s="51">
        <f>+SUM(J56:J65)</f>
        <v>25</v>
      </c>
      <c r="K55" s="52">
        <f>+SUM(I56:I65)-SUM(J56:J65)</f>
        <v>25</v>
      </c>
      <c r="N55" s="111"/>
      <c r="O55" s="111"/>
      <c r="P55" s="111"/>
      <c r="Q55" s="153" t="s">
        <v>83</v>
      </c>
      <c r="R55" s="155"/>
      <c r="S55" s="155"/>
      <c r="T55" s="155"/>
      <c r="U55" s="156"/>
      <c r="V55" s="117"/>
      <c r="W55" s="117"/>
    </row>
    <row r="56" spans="1:23" ht="14.25" customHeight="1" x14ac:dyDescent="0.2">
      <c r="A56" s="111"/>
      <c r="B56" s="13"/>
      <c r="C56" s="109"/>
      <c r="F56" s="14" t="s">
        <v>14</v>
      </c>
      <c r="G56" s="14"/>
      <c r="H56" s="15"/>
      <c r="I56" s="149">
        <v>10</v>
      </c>
      <c r="J56" s="149">
        <v>5</v>
      </c>
      <c r="K56" s="125"/>
      <c r="N56" s="111"/>
      <c r="O56" s="111"/>
      <c r="P56" s="111"/>
      <c r="Q56" s="153" t="s">
        <v>84</v>
      </c>
      <c r="R56" s="156"/>
      <c r="S56" s="155"/>
      <c r="T56" s="156"/>
      <c r="U56" s="156"/>
      <c r="V56" s="112"/>
      <c r="W56" s="120"/>
    </row>
    <row r="57" spans="1:23" ht="14.25" customHeight="1" x14ac:dyDescent="0.2">
      <c r="A57" s="111"/>
      <c r="B57" s="13"/>
      <c r="C57" s="109"/>
      <c r="F57" s="16" t="s">
        <v>15</v>
      </c>
      <c r="G57" s="16"/>
      <c r="H57" s="17"/>
      <c r="I57" s="149">
        <v>10</v>
      </c>
      <c r="J57" s="149">
        <v>5</v>
      </c>
      <c r="K57" s="126"/>
      <c r="N57" s="111"/>
      <c r="O57" s="111"/>
      <c r="P57" s="111"/>
      <c r="Q57" s="153" t="s">
        <v>85</v>
      </c>
      <c r="R57" s="156"/>
      <c r="S57" s="155"/>
      <c r="T57" s="156"/>
      <c r="U57" s="156"/>
      <c r="V57" s="112"/>
      <c r="W57" s="120"/>
    </row>
    <row r="58" spans="1:23" ht="14.25" customHeight="1" x14ac:dyDescent="0.2">
      <c r="A58" s="111"/>
      <c r="B58" s="13"/>
      <c r="C58" s="109"/>
      <c r="F58" s="16" t="s">
        <v>17</v>
      </c>
      <c r="G58" s="16"/>
      <c r="H58" s="17"/>
      <c r="I58" s="149">
        <v>10</v>
      </c>
      <c r="J58" s="149">
        <v>5</v>
      </c>
      <c r="K58" s="126"/>
      <c r="N58" s="111"/>
      <c r="O58" s="111"/>
      <c r="P58" s="111"/>
      <c r="Q58" s="153" t="s">
        <v>86</v>
      </c>
      <c r="R58" s="156"/>
      <c r="S58" s="155"/>
      <c r="T58" s="156"/>
      <c r="U58" s="156"/>
      <c r="V58" s="112"/>
      <c r="W58" s="120"/>
    </row>
    <row r="59" spans="1:23" ht="14.25" customHeight="1" x14ac:dyDescent="0.2">
      <c r="A59" s="111"/>
      <c r="B59" s="13"/>
      <c r="C59" s="109"/>
      <c r="F59" s="16" t="s">
        <v>18</v>
      </c>
      <c r="G59" s="16"/>
      <c r="H59" s="17"/>
      <c r="I59" s="149">
        <v>10</v>
      </c>
      <c r="J59" s="150">
        <v>5</v>
      </c>
      <c r="K59" s="126"/>
      <c r="N59" s="111"/>
      <c r="O59" s="111"/>
      <c r="P59" s="111"/>
      <c r="Q59" s="154" t="s">
        <v>79</v>
      </c>
      <c r="R59" s="155"/>
      <c r="S59" s="155"/>
      <c r="T59" s="155"/>
      <c r="U59" s="156"/>
      <c r="V59" s="112"/>
      <c r="W59" s="120"/>
    </row>
    <row r="60" spans="1:23" ht="14.25" customHeight="1" x14ac:dyDescent="0.2">
      <c r="A60" s="111"/>
      <c r="B60" s="13"/>
      <c r="C60" s="109"/>
      <c r="F60" s="16" t="s">
        <v>19</v>
      </c>
      <c r="G60" s="16"/>
      <c r="H60" s="17"/>
      <c r="I60" s="149">
        <v>10</v>
      </c>
      <c r="J60" s="150">
        <v>5</v>
      </c>
      <c r="K60" s="126"/>
      <c r="N60" s="111"/>
      <c r="O60" s="111"/>
      <c r="P60" s="111"/>
      <c r="Q60" s="154" t="s">
        <v>87</v>
      </c>
      <c r="R60" s="155"/>
      <c r="S60" s="155"/>
      <c r="T60" s="155"/>
      <c r="U60" s="156"/>
      <c r="V60" s="112"/>
      <c r="W60" s="120"/>
    </row>
    <row r="61" spans="1:23" ht="14.25" customHeight="1" x14ac:dyDescent="0.2">
      <c r="A61" s="111"/>
      <c r="B61" s="13"/>
      <c r="C61" s="109"/>
      <c r="F61" s="16" t="s">
        <v>21</v>
      </c>
      <c r="G61" s="16"/>
      <c r="H61" s="17"/>
      <c r="I61" s="149"/>
      <c r="J61" s="150"/>
      <c r="K61" s="126"/>
      <c r="N61" s="111"/>
      <c r="O61" s="111"/>
      <c r="P61" s="111"/>
      <c r="Q61" s="154" t="s">
        <v>89</v>
      </c>
      <c r="R61" s="155"/>
      <c r="S61" s="155"/>
      <c r="T61" s="155"/>
      <c r="U61" s="156"/>
      <c r="V61" s="112"/>
      <c r="W61" s="120"/>
    </row>
    <row r="62" spans="1:23" ht="14.25" customHeight="1" x14ac:dyDescent="0.2">
      <c r="A62" s="111"/>
      <c r="B62" s="13"/>
      <c r="C62" s="109"/>
      <c r="F62" s="16" t="s">
        <v>22</v>
      </c>
      <c r="G62" s="16"/>
      <c r="H62" s="17"/>
      <c r="I62" s="149"/>
      <c r="J62" s="150"/>
      <c r="K62" s="126"/>
      <c r="N62" s="111"/>
      <c r="O62" s="111"/>
      <c r="P62" s="111"/>
      <c r="Q62" s="154" t="s">
        <v>91</v>
      </c>
      <c r="R62" s="155"/>
      <c r="S62" s="155"/>
      <c r="T62" s="155"/>
      <c r="U62" s="156"/>
      <c r="V62" s="112"/>
      <c r="W62" s="120"/>
    </row>
    <row r="63" spans="1:23" ht="14.25" customHeight="1" x14ac:dyDescent="0.2">
      <c r="A63" s="111"/>
      <c r="B63" s="13"/>
      <c r="C63" s="109"/>
      <c r="F63" s="16" t="s">
        <v>23</v>
      </c>
      <c r="G63" s="16"/>
      <c r="H63" s="17"/>
      <c r="I63" s="149"/>
      <c r="J63" s="149"/>
      <c r="K63" s="126"/>
      <c r="N63" s="111"/>
      <c r="O63" s="111"/>
      <c r="P63" s="111"/>
      <c r="U63" s="117"/>
      <c r="V63" s="112"/>
      <c r="W63" s="120"/>
    </row>
    <row r="64" spans="1:23" ht="14.25" customHeight="1" x14ac:dyDescent="0.2">
      <c r="A64" s="111"/>
      <c r="B64" s="13"/>
      <c r="C64" s="109"/>
      <c r="F64" s="16" t="s">
        <v>24</v>
      </c>
      <c r="G64" s="16"/>
      <c r="H64" s="17"/>
      <c r="I64" s="149"/>
      <c r="J64" s="149"/>
      <c r="K64" s="126"/>
      <c r="N64" s="111"/>
      <c r="O64" s="111"/>
      <c r="P64" s="111"/>
      <c r="T64" s="111"/>
      <c r="U64" s="117"/>
      <c r="V64" s="112"/>
      <c r="W64" s="120"/>
    </row>
    <row r="65" spans="1:23" ht="14.25" customHeight="1" x14ac:dyDescent="0.2">
      <c r="A65" s="111"/>
      <c r="B65" s="13"/>
      <c r="C65" s="109"/>
      <c r="F65" s="16" t="s">
        <v>25</v>
      </c>
      <c r="G65" s="16"/>
      <c r="H65" s="17"/>
      <c r="I65" s="149"/>
      <c r="J65" s="149"/>
      <c r="K65" s="127"/>
      <c r="N65" s="111"/>
      <c r="O65" s="111"/>
      <c r="P65" s="111"/>
      <c r="T65" s="111"/>
      <c r="U65" s="117"/>
      <c r="V65" s="112"/>
      <c r="W65" s="120"/>
    </row>
    <row r="66" spans="1:23" x14ac:dyDescent="0.2">
      <c r="A66" s="111"/>
      <c r="B66" s="13"/>
      <c r="C66" s="109"/>
      <c r="K66" s="50"/>
      <c r="N66" s="111"/>
      <c r="O66" s="111"/>
      <c r="P66" s="111"/>
      <c r="T66" s="111"/>
      <c r="U66" s="117"/>
      <c r="V66" s="117"/>
      <c r="W66" s="117"/>
    </row>
    <row r="67" spans="1:23" x14ac:dyDescent="0.2">
      <c r="A67" s="111"/>
      <c r="B67" s="13"/>
      <c r="C67" s="109"/>
      <c r="E67" s="10" t="s">
        <v>27</v>
      </c>
      <c r="F67" s="10"/>
      <c r="G67" s="10"/>
      <c r="H67" s="10"/>
      <c r="I67" s="51">
        <f>+SUM(I68:I71)</f>
        <v>292.66666666666669</v>
      </c>
      <c r="J67" s="51">
        <f>+SUM(J68:J71)</f>
        <v>285.14006666666671</v>
      </c>
      <c r="K67" s="52">
        <f>+I68+I69+I70+I71-J68-J69-J70-J71</f>
        <v>7.526600000000002</v>
      </c>
      <c r="N67" s="111"/>
      <c r="O67" s="111"/>
      <c r="P67" s="111"/>
      <c r="T67" s="111"/>
      <c r="U67" s="117"/>
      <c r="V67" s="117"/>
      <c r="W67" s="117"/>
    </row>
    <row r="68" spans="1:23" x14ac:dyDescent="0.2">
      <c r="A68" s="111"/>
      <c r="B68" s="13"/>
      <c r="C68" s="109"/>
      <c r="F68" s="14" t="s">
        <v>28</v>
      </c>
      <c r="G68" s="14"/>
      <c r="H68" s="15"/>
      <c r="I68" s="53">
        <f>+Q47*(1-V49)/(F47*12)</f>
        <v>260.66666666666669</v>
      </c>
      <c r="J68" s="53">
        <f>+I68</f>
        <v>260.66666666666669</v>
      </c>
      <c r="K68" s="54"/>
      <c r="N68" s="111"/>
      <c r="O68" s="111"/>
      <c r="P68" s="111"/>
      <c r="T68" s="111"/>
      <c r="U68" s="117"/>
      <c r="V68" s="117"/>
      <c r="W68" s="117"/>
    </row>
    <row r="69" spans="1:23" x14ac:dyDescent="0.2">
      <c r="A69" s="111"/>
      <c r="B69" s="13"/>
      <c r="C69" s="109"/>
      <c r="F69" s="16" t="s">
        <v>30</v>
      </c>
      <c r="G69" s="172">
        <v>3.85E-2</v>
      </c>
      <c r="H69" s="17"/>
      <c r="I69" s="53">
        <f>ROUND(+Q49*(1-V47)*G69*F47/60,0)</f>
        <v>32</v>
      </c>
      <c r="J69" s="53"/>
      <c r="K69" s="55"/>
      <c r="N69" s="111"/>
      <c r="O69" s="111"/>
      <c r="P69" s="111"/>
      <c r="Q69" s="111"/>
      <c r="R69" s="115"/>
      <c r="S69" s="118"/>
      <c r="T69" s="111"/>
      <c r="U69" s="117"/>
      <c r="V69" s="117"/>
      <c r="W69" s="117"/>
    </row>
    <row r="70" spans="1:23" x14ac:dyDescent="0.2">
      <c r="A70" s="111"/>
      <c r="B70" s="13"/>
      <c r="C70" s="109"/>
      <c r="F70" s="16" t="s">
        <v>31</v>
      </c>
      <c r="G70" s="172">
        <v>1.8499999999999999E-2</v>
      </c>
      <c r="H70" s="17"/>
      <c r="I70" s="53"/>
      <c r="J70" s="53">
        <f>+Q49*(1-V47)*G70*F47/60</f>
        <v>15.473399999999998</v>
      </c>
      <c r="K70" s="55"/>
      <c r="N70" s="111"/>
      <c r="O70" s="111"/>
      <c r="P70" s="111"/>
      <c r="Q70" s="111"/>
      <c r="R70" s="111"/>
      <c r="S70" s="111"/>
      <c r="T70" s="111"/>
      <c r="U70" s="117"/>
      <c r="V70" s="117"/>
      <c r="W70" s="117"/>
    </row>
    <row r="71" spans="1:23" x14ac:dyDescent="0.2">
      <c r="A71" s="111"/>
      <c r="B71" s="13"/>
      <c r="C71" s="109"/>
      <c r="F71" s="16" t="s">
        <v>82</v>
      </c>
      <c r="G71" s="172">
        <v>1.0999999999999999E-2</v>
      </c>
      <c r="H71" s="17"/>
      <c r="I71" s="53"/>
      <c r="J71" s="53">
        <f>ROUND((+Q49*(1-V47)*F47/60*G71),0)</f>
        <v>9</v>
      </c>
      <c r="K71" s="55"/>
      <c r="N71" s="111"/>
      <c r="O71" s="111"/>
      <c r="P71" s="111"/>
      <c r="R71" s="111"/>
      <c r="S71" s="111"/>
      <c r="T71" s="111"/>
      <c r="U71" s="117"/>
      <c r="V71" s="117"/>
      <c r="W71" s="117"/>
    </row>
    <row r="72" spans="1:23" x14ac:dyDescent="0.2">
      <c r="A72" s="111"/>
      <c r="B72" s="13"/>
      <c r="C72" s="109"/>
      <c r="K72" s="50"/>
      <c r="N72" s="111"/>
      <c r="O72" s="111"/>
      <c r="P72" s="111"/>
      <c r="Q72" s="111"/>
      <c r="R72" s="111"/>
      <c r="S72" s="111"/>
      <c r="T72" s="111"/>
      <c r="U72" s="117"/>
      <c r="V72" s="117"/>
      <c r="W72" s="117"/>
    </row>
    <row r="73" spans="1:23" x14ac:dyDescent="0.2">
      <c r="A73" s="111"/>
      <c r="B73" s="13"/>
      <c r="C73" s="109"/>
      <c r="D73" s="10"/>
      <c r="E73" s="10"/>
      <c r="F73" s="10"/>
      <c r="G73" s="10"/>
      <c r="H73" s="10"/>
      <c r="I73" s="51"/>
      <c r="J73" s="51"/>
      <c r="K73" s="52"/>
      <c r="N73" s="111"/>
      <c r="O73" s="111"/>
      <c r="P73" s="111"/>
      <c r="Q73" s="111"/>
      <c r="R73" s="115"/>
      <c r="S73" s="115"/>
      <c r="T73" s="111"/>
      <c r="U73" s="117"/>
      <c r="V73" s="117"/>
      <c r="W73" s="117"/>
    </row>
    <row r="74" spans="1:23" x14ac:dyDescent="0.2">
      <c r="A74" s="111"/>
      <c r="B74" s="13"/>
      <c r="C74" s="109"/>
      <c r="K74" s="50"/>
      <c r="N74" s="111"/>
      <c r="O74" s="111"/>
      <c r="P74" s="111"/>
      <c r="Q74" s="111"/>
      <c r="R74" s="115"/>
      <c r="S74" s="115"/>
      <c r="T74" s="111"/>
      <c r="U74" s="117"/>
      <c r="V74" s="117"/>
      <c r="W74" s="117"/>
    </row>
    <row r="75" spans="1:23" x14ac:dyDescent="0.2">
      <c r="A75" s="111"/>
      <c r="B75" s="13"/>
      <c r="C75" s="109"/>
      <c r="D75" s="10"/>
      <c r="E75" s="10"/>
      <c r="F75" s="10"/>
      <c r="G75" s="10"/>
      <c r="H75" s="10"/>
      <c r="I75" s="51"/>
      <c r="J75" s="51"/>
      <c r="K75" s="52"/>
      <c r="N75" s="111"/>
      <c r="O75" s="111"/>
      <c r="P75" s="111"/>
      <c r="Q75" s="111"/>
      <c r="R75" s="115"/>
      <c r="S75" s="115"/>
      <c r="T75" s="111"/>
      <c r="U75" s="117"/>
      <c r="V75" s="117"/>
      <c r="W75" s="117"/>
    </row>
    <row r="76" spans="1:23" x14ac:dyDescent="0.2">
      <c r="A76" s="111"/>
      <c r="B76" s="13"/>
      <c r="C76" s="109"/>
      <c r="K76" s="50"/>
      <c r="N76" s="111"/>
      <c r="O76" s="111"/>
      <c r="P76" s="111"/>
      <c r="Q76" s="111"/>
      <c r="R76" s="115"/>
      <c r="S76" s="115"/>
      <c r="T76" s="111"/>
      <c r="U76" s="117"/>
      <c r="V76" s="117"/>
      <c r="W76" s="117"/>
    </row>
    <row r="77" spans="1:23" x14ac:dyDescent="0.2">
      <c r="A77" s="111"/>
      <c r="B77" s="13"/>
      <c r="C77" s="109"/>
      <c r="D77" s="10" t="s">
        <v>34</v>
      </c>
      <c r="E77" s="10"/>
      <c r="F77" s="10"/>
      <c r="G77" s="10"/>
      <c r="H77" s="10"/>
      <c r="I77" s="51"/>
      <c r="J77" s="51"/>
      <c r="K77" s="52">
        <f>+I77-J77</f>
        <v>0</v>
      </c>
      <c r="N77" s="111"/>
      <c r="O77" s="111"/>
      <c r="P77" s="111"/>
      <c r="Q77" s="111"/>
      <c r="R77" s="111"/>
      <c r="S77" s="115"/>
      <c r="T77" s="111"/>
      <c r="U77" s="117"/>
      <c r="V77" s="117"/>
      <c r="W77" s="117"/>
    </row>
    <row r="78" spans="1:23" x14ac:dyDescent="0.2">
      <c r="A78" s="111"/>
      <c r="B78" s="13"/>
      <c r="C78" s="109"/>
      <c r="K78" s="50"/>
      <c r="N78" s="111"/>
      <c r="O78" s="111"/>
      <c r="P78" s="111"/>
      <c r="R78" s="111"/>
      <c r="S78" s="115"/>
      <c r="T78" s="111"/>
      <c r="U78" s="117"/>
      <c r="V78" s="117"/>
      <c r="W78" s="117"/>
    </row>
    <row r="79" spans="1:23" ht="15" x14ac:dyDescent="0.25">
      <c r="A79" s="111"/>
      <c r="B79" s="19" t="s">
        <v>35</v>
      </c>
      <c r="C79" s="20"/>
      <c r="D79" s="20"/>
      <c r="E79" s="20"/>
      <c r="F79" s="20"/>
      <c r="G79" s="20"/>
      <c r="H79" s="20"/>
      <c r="I79" s="56">
        <f>I54</f>
        <v>342.66666666666669</v>
      </c>
      <c r="J79" s="56">
        <f t="shared" ref="J79:K79" si="2">J54</f>
        <v>310.14006666666671</v>
      </c>
      <c r="K79" s="57">
        <f t="shared" si="2"/>
        <v>32.526599999999974</v>
      </c>
      <c r="N79" s="116"/>
      <c r="O79" s="116"/>
      <c r="P79" s="116"/>
      <c r="Q79" s="111"/>
      <c r="R79" s="111"/>
      <c r="S79" s="115"/>
      <c r="T79" s="116"/>
      <c r="U79" s="119"/>
      <c r="V79" s="119"/>
      <c r="W79" s="119"/>
    </row>
    <row r="80" spans="1:23" x14ac:dyDescent="0.2">
      <c r="A80" s="111"/>
      <c r="B80" s="13"/>
      <c r="C80" s="109"/>
      <c r="K80" s="50"/>
      <c r="N80" s="111"/>
      <c r="O80" s="111"/>
      <c r="P80" s="111"/>
      <c r="Q80" s="111"/>
      <c r="R80" s="115"/>
      <c r="S80" s="115"/>
      <c r="T80" s="111"/>
      <c r="U80" s="117"/>
      <c r="V80" s="117"/>
      <c r="W80" s="117"/>
    </row>
    <row r="81" spans="1:23" x14ac:dyDescent="0.2">
      <c r="A81" s="111"/>
      <c r="B81" s="13"/>
      <c r="C81" s="3" t="s">
        <v>36</v>
      </c>
      <c r="D81" s="3"/>
      <c r="E81" s="3"/>
      <c r="F81" s="3"/>
      <c r="G81" s="3"/>
      <c r="H81" s="3"/>
      <c r="I81" s="46"/>
      <c r="J81" s="151">
        <v>352</v>
      </c>
      <c r="K81" s="47">
        <f>+J81</f>
        <v>352</v>
      </c>
      <c r="N81" s="111"/>
      <c r="O81" s="111"/>
      <c r="P81" s="111"/>
      <c r="Q81" s="111"/>
      <c r="R81" s="115"/>
      <c r="S81" s="115"/>
      <c r="T81" s="111"/>
      <c r="U81" s="117"/>
      <c r="V81" s="117"/>
      <c r="W81" s="117"/>
    </row>
    <row r="82" spans="1:23" x14ac:dyDescent="0.2">
      <c r="A82" s="111"/>
      <c r="B82" s="13"/>
      <c r="C82" s="109" t="s">
        <v>37</v>
      </c>
      <c r="K82" s="50"/>
      <c r="N82" s="111"/>
      <c r="O82" s="111"/>
      <c r="P82" s="111"/>
      <c r="Q82" s="111"/>
      <c r="R82" s="115"/>
      <c r="S82" s="115"/>
      <c r="T82" s="111"/>
      <c r="U82" s="117"/>
      <c r="V82" s="117"/>
      <c r="W82" s="117"/>
    </row>
    <row r="83" spans="1:23" ht="15" x14ac:dyDescent="0.25">
      <c r="A83" s="111"/>
      <c r="B83" s="19" t="s">
        <v>38</v>
      </c>
      <c r="C83" s="20"/>
      <c r="D83" s="20"/>
      <c r="E83" s="20"/>
      <c r="F83" s="20"/>
      <c r="G83" s="20"/>
      <c r="H83" s="20"/>
      <c r="I83" s="56">
        <f>+I79+I81</f>
        <v>342.66666666666669</v>
      </c>
      <c r="J83" s="56">
        <f>+J79+J81</f>
        <v>662.14006666666671</v>
      </c>
      <c r="K83" s="57">
        <f>+K79-K81</f>
        <v>-319.47340000000003</v>
      </c>
      <c r="N83" s="116"/>
      <c r="O83" s="116"/>
      <c r="P83" s="116"/>
      <c r="Q83" s="116"/>
      <c r="R83" s="116"/>
      <c r="S83" s="116"/>
      <c r="T83" s="116"/>
      <c r="U83" s="119"/>
      <c r="V83" s="119"/>
      <c r="W83" s="119"/>
    </row>
    <row r="84" spans="1:23" ht="15" x14ac:dyDescent="0.25">
      <c r="A84" s="111"/>
      <c r="B84" s="21"/>
      <c r="C84" s="22"/>
      <c r="D84" s="22"/>
      <c r="E84" s="22"/>
      <c r="F84" s="22"/>
      <c r="G84" s="22"/>
      <c r="H84" s="22"/>
      <c r="I84" s="58"/>
      <c r="J84" s="58"/>
      <c r="K84" s="59"/>
      <c r="N84" s="116"/>
      <c r="O84" s="116"/>
      <c r="P84" s="116"/>
      <c r="Q84" s="116"/>
      <c r="R84" s="116"/>
      <c r="S84" s="116"/>
      <c r="T84" s="116"/>
      <c r="U84" s="119"/>
      <c r="V84" s="119"/>
      <c r="W84" s="119"/>
    </row>
    <row r="85" spans="1:23" ht="15" x14ac:dyDescent="0.25">
      <c r="A85" s="111"/>
      <c r="B85" s="23"/>
      <c r="C85" s="24"/>
      <c r="D85" s="24"/>
      <c r="E85" s="24"/>
      <c r="F85" s="24"/>
      <c r="G85" s="24"/>
      <c r="H85" s="24"/>
      <c r="I85" s="60">
        <f>+ROUND(I83*$H$3,0)</f>
        <v>0</v>
      </c>
      <c r="J85" s="60">
        <f>+ROUND(J83*$H$3,0)</f>
        <v>0</v>
      </c>
      <c r="K85" s="61">
        <f>+ROUND(K83*$H$3,0)</f>
        <v>0</v>
      </c>
      <c r="N85" s="116"/>
      <c r="O85" s="116"/>
      <c r="P85" s="116"/>
      <c r="Q85" s="116"/>
      <c r="R85" s="116"/>
      <c r="S85" s="116"/>
      <c r="T85" s="116"/>
      <c r="U85" s="119"/>
      <c r="V85" s="119"/>
      <c r="W85" s="119"/>
    </row>
    <row r="86" spans="1:23" x14ac:dyDescent="0.2">
      <c r="A86" s="111"/>
      <c r="B86" s="111"/>
      <c r="C86" s="111"/>
      <c r="D86" s="111"/>
      <c r="E86" s="111"/>
      <c r="F86" s="111"/>
      <c r="G86" s="111"/>
      <c r="H86" s="111"/>
      <c r="I86" s="112"/>
      <c r="J86" s="112"/>
      <c r="K86" s="112"/>
      <c r="L86" s="111"/>
      <c r="M86" s="111"/>
      <c r="N86" s="111"/>
    </row>
    <row r="87" spans="1:23" x14ac:dyDescent="0.2">
      <c r="A87" s="111"/>
      <c r="B87" s="111"/>
      <c r="C87" s="111"/>
      <c r="D87" s="111"/>
      <c r="E87" s="111"/>
      <c r="F87" s="111"/>
      <c r="G87" s="111"/>
      <c r="H87" s="111"/>
      <c r="I87" s="112"/>
      <c r="J87" s="112"/>
      <c r="K87" s="112"/>
      <c r="L87" s="111"/>
      <c r="M87" s="111"/>
      <c r="N87" s="111"/>
    </row>
    <row r="89" spans="1:23" x14ac:dyDescent="0.2">
      <c r="F89" s="141">
        <v>3</v>
      </c>
      <c r="G89" s="2"/>
      <c r="H89" s="3" t="s">
        <v>0</v>
      </c>
      <c r="I89" s="46"/>
      <c r="J89" s="47"/>
      <c r="L89" s="5" t="s">
        <v>1</v>
      </c>
      <c r="M89" s="6"/>
      <c r="N89" s="7"/>
      <c r="O89" s="6"/>
      <c r="P89" s="6"/>
      <c r="Q89" s="144">
        <v>20400</v>
      </c>
      <c r="S89" s="2" t="s">
        <v>2</v>
      </c>
      <c r="T89" s="4"/>
      <c r="U89" s="28"/>
      <c r="V89" s="147">
        <v>0.18</v>
      </c>
    </row>
    <row r="90" spans="1:23" x14ac:dyDescent="0.2">
      <c r="F90" s="142">
        <v>20000</v>
      </c>
      <c r="G90" s="2"/>
      <c r="H90" s="3" t="s">
        <v>3</v>
      </c>
      <c r="I90" s="46"/>
      <c r="J90" s="47"/>
      <c r="L90" s="2" t="s">
        <v>4</v>
      </c>
      <c r="M90" s="3"/>
      <c r="N90" s="4"/>
      <c r="O90" s="3"/>
      <c r="P90" s="3"/>
      <c r="Q90" s="145">
        <v>0</v>
      </c>
      <c r="S90" s="2" t="s">
        <v>5</v>
      </c>
      <c r="T90" s="4"/>
      <c r="U90" s="28"/>
      <c r="V90" s="148"/>
    </row>
    <row r="91" spans="1:23" x14ac:dyDescent="0.2">
      <c r="F91" s="143">
        <v>0.35</v>
      </c>
      <c r="G91" s="2"/>
      <c r="H91" s="3" t="s">
        <v>6</v>
      </c>
      <c r="I91" s="46"/>
      <c r="J91" s="47"/>
      <c r="L91" s="9" t="s">
        <v>7</v>
      </c>
      <c r="M91" s="10"/>
      <c r="N91" s="11"/>
      <c r="O91" s="10"/>
      <c r="P91" s="10"/>
      <c r="Q91" s="146">
        <f>+Q89+Q90</f>
        <v>20400</v>
      </c>
      <c r="S91" s="2" t="s">
        <v>8</v>
      </c>
      <c r="T91" s="4"/>
      <c r="U91" s="28"/>
      <c r="V91" s="147">
        <v>0.54</v>
      </c>
    </row>
    <row r="93" spans="1:23" ht="18" x14ac:dyDescent="0.25">
      <c r="B93" s="121" t="s">
        <v>81</v>
      </c>
      <c r="C93" s="3"/>
      <c r="D93" s="3"/>
      <c r="E93" s="3"/>
      <c r="F93" s="3"/>
      <c r="G93" s="3"/>
      <c r="H93" s="3"/>
      <c r="I93" s="46"/>
      <c r="J93" s="46"/>
      <c r="K93" s="47"/>
      <c r="N93" s="114"/>
      <c r="O93" s="111"/>
      <c r="P93" s="111"/>
      <c r="Q93" s="114" t="s">
        <v>90</v>
      </c>
      <c r="R93" s="111"/>
      <c r="S93" s="111"/>
      <c r="T93" s="111"/>
      <c r="U93" s="117"/>
      <c r="V93" s="117"/>
    </row>
    <row r="94" spans="1:23" ht="18" x14ac:dyDescent="0.25">
      <c r="B94" s="12"/>
      <c r="C94" s="6"/>
      <c r="D94" s="6"/>
      <c r="E94" s="6"/>
      <c r="F94" s="6"/>
      <c r="G94" s="6"/>
      <c r="H94" s="6"/>
      <c r="I94" s="48" t="s">
        <v>9</v>
      </c>
      <c r="J94" s="48" t="s">
        <v>10</v>
      </c>
      <c r="K94" s="49" t="s">
        <v>11</v>
      </c>
      <c r="N94" s="114"/>
      <c r="O94" s="111"/>
      <c r="P94" s="111"/>
      <c r="Q94" s="111"/>
      <c r="R94" s="111"/>
      <c r="S94" s="111"/>
      <c r="T94" s="111"/>
      <c r="U94" s="117"/>
      <c r="V94" s="117"/>
    </row>
    <row r="95" spans="1:23" x14ac:dyDescent="0.2">
      <c r="B95" s="13"/>
      <c r="C95" s="109"/>
      <c r="D95" s="109"/>
      <c r="E95" s="109"/>
      <c r="F95" s="109"/>
      <c r="G95" s="109"/>
      <c r="H95" s="109"/>
      <c r="I95" s="110"/>
      <c r="J95" s="110"/>
      <c r="K95" s="50"/>
      <c r="N95" s="111"/>
      <c r="O95" s="111"/>
      <c r="P95" s="111"/>
      <c r="Q95" s="152"/>
      <c r="R95" s="152" t="s">
        <v>92</v>
      </c>
      <c r="S95" s="152" t="s">
        <v>93</v>
      </c>
      <c r="T95" s="153" t="s">
        <v>94</v>
      </c>
      <c r="U95" s="154" t="s">
        <v>95</v>
      </c>
      <c r="V95" s="117"/>
    </row>
    <row r="96" spans="1:23" x14ac:dyDescent="0.2">
      <c r="B96" s="13"/>
      <c r="C96" s="109"/>
      <c r="D96" s="10" t="s">
        <v>12</v>
      </c>
      <c r="E96" s="10"/>
      <c r="F96" s="10"/>
      <c r="G96" s="10"/>
      <c r="H96" s="10"/>
      <c r="I96" s="51">
        <f>+I97+I109</f>
        <v>342.66666666666669</v>
      </c>
      <c r="J96" s="51">
        <f>+J97+J109</f>
        <v>310.14006666666671</v>
      </c>
      <c r="K96" s="52">
        <f>+I96-J96</f>
        <v>32.526599999999974</v>
      </c>
      <c r="N96" s="111"/>
      <c r="O96" s="111"/>
      <c r="P96" s="111"/>
      <c r="Q96" s="152" t="s">
        <v>88</v>
      </c>
      <c r="R96" s="155"/>
      <c r="S96" s="155"/>
      <c r="T96" s="155"/>
      <c r="U96" s="156"/>
      <c r="V96" s="117"/>
    </row>
    <row r="97" spans="2:22" x14ac:dyDescent="0.2">
      <c r="B97" s="13"/>
      <c r="C97" s="109"/>
      <c r="E97" s="10" t="s">
        <v>13</v>
      </c>
      <c r="F97" s="10"/>
      <c r="G97" s="10"/>
      <c r="H97" s="10"/>
      <c r="I97" s="51">
        <f>+SUM(I98:I107)</f>
        <v>50</v>
      </c>
      <c r="J97" s="51">
        <f>+SUM(J98:J107)</f>
        <v>25</v>
      </c>
      <c r="K97" s="52">
        <f>+SUM(I98:I107)-SUM(J98:J107)</f>
        <v>25</v>
      </c>
      <c r="N97" s="111"/>
      <c r="O97" s="111"/>
      <c r="P97" s="111"/>
      <c r="Q97" s="153" t="s">
        <v>83</v>
      </c>
      <c r="R97" s="155"/>
      <c r="S97" s="155"/>
      <c r="T97" s="155"/>
      <c r="U97" s="156"/>
      <c r="V97" s="117"/>
    </row>
    <row r="98" spans="2:22" ht="14.25" customHeight="1" x14ac:dyDescent="0.2">
      <c r="B98" s="13"/>
      <c r="C98" s="109"/>
      <c r="F98" s="14" t="s">
        <v>14</v>
      </c>
      <c r="G98" s="14"/>
      <c r="H98" s="15"/>
      <c r="I98" s="149">
        <v>10</v>
      </c>
      <c r="J98" s="149">
        <v>5</v>
      </c>
      <c r="K98" s="125"/>
      <c r="N98" s="111"/>
      <c r="O98" s="111"/>
      <c r="P98" s="111"/>
      <c r="Q98" s="153" t="s">
        <v>84</v>
      </c>
      <c r="R98" s="156"/>
      <c r="S98" s="155"/>
      <c r="T98" s="156"/>
      <c r="U98" s="156"/>
      <c r="V98" s="112"/>
    </row>
    <row r="99" spans="2:22" ht="14.25" customHeight="1" x14ac:dyDescent="0.2">
      <c r="B99" s="13"/>
      <c r="C99" s="109"/>
      <c r="F99" s="16" t="s">
        <v>15</v>
      </c>
      <c r="G99" s="16"/>
      <c r="H99" s="17"/>
      <c r="I99" s="149">
        <v>10</v>
      </c>
      <c r="J99" s="149">
        <v>5</v>
      </c>
      <c r="K99" s="126"/>
      <c r="N99" s="111"/>
      <c r="O99" s="111"/>
      <c r="P99" s="111"/>
      <c r="Q99" s="153" t="s">
        <v>85</v>
      </c>
      <c r="R99" s="156"/>
      <c r="S99" s="155"/>
      <c r="T99" s="156"/>
      <c r="U99" s="156"/>
      <c r="V99" s="112"/>
    </row>
    <row r="100" spans="2:22" ht="14.25" customHeight="1" x14ac:dyDescent="0.2">
      <c r="B100" s="13"/>
      <c r="C100" s="109"/>
      <c r="F100" s="16" t="s">
        <v>17</v>
      </c>
      <c r="G100" s="16"/>
      <c r="H100" s="17"/>
      <c r="I100" s="149">
        <v>10</v>
      </c>
      <c r="J100" s="149">
        <v>5</v>
      </c>
      <c r="K100" s="126"/>
      <c r="N100" s="111"/>
      <c r="O100" s="111"/>
      <c r="P100" s="111"/>
      <c r="Q100" s="153" t="s">
        <v>86</v>
      </c>
      <c r="R100" s="156"/>
      <c r="S100" s="155"/>
      <c r="T100" s="156"/>
      <c r="U100" s="156"/>
      <c r="V100" s="112"/>
    </row>
    <row r="101" spans="2:22" ht="14.25" customHeight="1" x14ac:dyDescent="0.2">
      <c r="B101" s="13"/>
      <c r="C101" s="109"/>
      <c r="F101" s="16" t="s">
        <v>18</v>
      </c>
      <c r="G101" s="16"/>
      <c r="H101" s="17"/>
      <c r="I101" s="149">
        <v>10</v>
      </c>
      <c r="J101" s="150">
        <v>5</v>
      </c>
      <c r="K101" s="126"/>
      <c r="N101" s="111"/>
      <c r="O101" s="111"/>
      <c r="P101" s="111"/>
      <c r="Q101" s="154" t="s">
        <v>79</v>
      </c>
      <c r="R101" s="155"/>
      <c r="S101" s="155"/>
      <c r="T101" s="155"/>
      <c r="U101" s="156"/>
      <c r="V101" s="112"/>
    </row>
    <row r="102" spans="2:22" ht="14.25" customHeight="1" x14ac:dyDescent="0.2">
      <c r="B102" s="13"/>
      <c r="C102" s="109"/>
      <c r="F102" s="16" t="s">
        <v>19</v>
      </c>
      <c r="G102" s="16"/>
      <c r="H102" s="17"/>
      <c r="I102" s="149">
        <v>10</v>
      </c>
      <c r="J102" s="150">
        <v>5</v>
      </c>
      <c r="K102" s="126"/>
      <c r="N102" s="111"/>
      <c r="O102" s="111"/>
      <c r="P102" s="111"/>
      <c r="Q102" s="154" t="s">
        <v>87</v>
      </c>
      <c r="R102" s="155"/>
      <c r="S102" s="155"/>
      <c r="T102" s="155"/>
      <c r="U102" s="156"/>
      <c r="V102" s="112"/>
    </row>
    <row r="103" spans="2:22" ht="14.25" customHeight="1" x14ac:dyDescent="0.2">
      <c r="B103" s="13"/>
      <c r="C103" s="109"/>
      <c r="F103" s="16" t="s">
        <v>21</v>
      </c>
      <c r="G103" s="16"/>
      <c r="H103" s="17"/>
      <c r="I103" s="149"/>
      <c r="J103" s="150"/>
      <c r="K103" s="126"/>
      <c r="N103" s="111"/>
      <c r="O103" s="111"/>
      <c r="P103" s="111"/>
      <c r="Q103" s="154" t="s">
        <v>89</v>
      </c>
      <c r="R103" s="155"/>
      <c r="S103" s="155"/>
      <c r="T103" s="155"/>
      <c r="U103" s="156"/>
      <c r="V103" s="112"/>
    </row>
    <row r="104" spans="2:22" ht="14.25" customHeight="1" x14ac:dyDescent="0.2">
      <c r="B104" s="13"/>
      <c r="C104" s="109"/>
      <c r="F104" s="16" t="s">
        <v>22</v>
      </c>
      <c r="G104" s="16"/>
      <c r="H104" s="17"/>
      <c r="I104" s="149"/>
      <c r="J104" s="150"/>
      <c r="K104" s="126"/>
      <c r="N104" s="111"/>
      <c r="O104" s="111"/>
      <c r="P104" s="111"/>
      <c r="Q104" s="154" t="s">
        <v>91</v>
      </c>
      <c r="R104" s="155"/>
      <c r="S104" s="155"/>
      <c r="T104" s="155"/>
      <c r="U104" s="156"/>
      <c r="V104" s="112"/>
    </row>
    <row r="105" spans="2:22" ht="14.25" customHeight="1" x14ac:dyDescent="0.2">
      <c r="B105" s="13"/>
      <c r="C105" s="109"/>
      <c r="F105" s="16" t="s">
        <v>23</v>
      </c>
      <c r="G105" s="16"/>
      <c r="H105" s="17"/>
      <c r="I105" s="149"/>
      <c r="J105" s="149"/>
      <c r="K105" s="126"/>
      <c r="N105" s="111"/>
      <c r="O105" s="111"/>
      <c r="P105" s="111"/>
      <c r="Q105" s="111"/>
      <c r="R105" s="111"/>
      <c r="S105" s="115"/>
      <c r="T105" s="111"/>
      <c r="U105" s="117"/>
      <c r="V105" s="112"/>
    </row>
    <row r="106" spans="2:22" ht="14.25" customHeight="1" x14ac:dyDescent="0.2">
      <c r="B106" s="13"/>
      <c r="C106" s="109"/>
      <c r="F106" s="16" t="s">
        <v>24</v>
      </c>
      <c r="G106" s="16"/>
      <c r="H106" s="17"/>
      <c r="I106" s="149"/>
      <c r="J106" s="149"/>
      <c r="K106" s="126"/>
      <c r="N106" s="111"/>
      <c r="O106" s="111"/>
      <c r="P106" s="111"/>
      <c r="Q106" s="111"/>
      <c r="R106" s="115"/>
      <c r="S106" s="115"/>
      <c r="T106" s="111"/>
      <c r="U106" s="117"/>
      <c r="V106" s="112"/>
    </row>
    <row r="107" spans="2:22" ht="14.25" customHeight="1" x14ac:dyDescent="0.2">
      <c r="B107" s="13"/>
      <c r="C107" s="109"/>
      <c r="F107" s="16" t="s">
        <v>25</v>
      </c>
      <c r="G107" s="16"/>
      <c r="H107" s="17"/>
      <c r="I107" s="149"/>
      <c r="J107" s="149"/>
      <c r="K107" s="127"/>
      <c r="N107" s="111"/>
      <c r="O107" s="111"/>
      <c r="P107" s="111"/>
      <c r="Q107" s="111"/>
      <c r="R107" s="115"/>
      <c r="S107" s="115"/>
      <c r="T107" s="111"/>
      <c r="U107" s="117"/>
      <c r="V107" s="112"/>
    </row>
    <row r="108" spans="2:22" x14ac:dyDescent="0.2">
      <c r="B108" s="13"/>
      <c r="C108" s="109"/>
      <c r="K108" s="50"/>
      <c r="N108" s="111"/>
      <c r="O108" s="111"/>
      <c r="P108" s="111"/>
      <c r="Q108" s="111"/>
      <c r="R108" s="115"/>
      <c r="S108" s="111"/>
      <c r="T108" s="111"/>
      <c r="U108" s="117"/>
      <c r="V108" s="117"/>
    </row>
    <row r="109" spans="2:22" x14ac:dyDescent="0.2">
      <c r="B109" s="13"/>
      <c r="C109" s="109"/>
      <c r="E109" s="10" t="s">
        <v>27</v>
      </c>
      <c r="F109" s="10"/>
      <c r="G109" s="10"/>
      <c r="H109" s="10"/>
      <c r="I109" s="51">
        <f>+SUM(I110:I113)</f>
        <v>292.66666666666669</v>
      </c>
      <c r="J109" s="51">
        <f>+SUM(J110:J113)</f>
        <v>285.14006666666671</v>
      </c>
      <c r="K109" s="52">
        <f>+I110+I111+I112+I113-J110-J111-J112-J113</f>
        <v>7.526600000000002</v>
      </c>
      <c r="N109" s="111"/>
      <c r="O109" s="111"/>
      <c r="P109" s="111"/>
      <c r="Q109" s="111"/>
      <c r="R109" s="111"/>
      <c r="S109" s="111"/>
      <c r="T109" s="111"/>
      <c r="U109" s="117"/>
      <c r="V109" s="117"/>
    </row>
    <row r="110" spans="2:22" x14ac:dyDescent="0.2">
      <c r="B110" s="13"/>
      <c r="C110" s="109"/>
      <c r="F110" s="14" t="s">
        <v>28</v>
      </c>
      <c r="G110" s="14"/>
      <c r="H110" s="15"/>
      <c r="I110" s="53">
        <f>+Q89*(1-V91)/(F89*12)</f>
        <v>260.66666666666669</v>
      </c>
      <c r="J110" s="53">
        <f>+I110</f>
        <v>260.66666666666669</v>
      </c>
      <c r="K110" s="54"/>
      <c r="N110" s="111"/>
      <c r="O110" s="111"/>
      <c r="P110" s="111"/>
      <c r="Q110" s="111"/>
      <c r="R110" s="115"/>
      <c r="S110" s="115"/>
      <c r="T110" s="111"/>
      <c r="U110" s="117"/>
      <c r="V110" s="117"/>
    </row>
    <row r="111" spans="2:22" x14ac:dyDescent="0.2">
      <c r="B111" s="13"/>
      <c r="C111" s="109"/>
      <c r="F111" s="16" t="s">
        <v>30</v>
      </c>
      <c r="G111" s="172">
        <v>3.85E-2</v>
      </c>
      <c r="H111" s="17"/>
      <c r="I111" s="53">
        <f>ROUND(+Q91*(1-V89)*G111*F89/60,0)</f>
        <v>32</v>
      </c>
      <c r="J111" s="53"/>
      <c r="K111" s="55"/>
      <c r="N111" s="111"/>
      <c r="O111" s="111"/>
      <c r="P111" s="111"/>
      <c r="Q111" s="111"/>
      <c r="R111" s="115"/>
      <c r="S111" s="118"/>
      <c r="T111" s="111"/>
      <c r="U111" s="117"/>
      <c r="V111" s="117"/>
    </row>
    <row r="112" spans="2:22" x14ac:dyDescent="0.2">
      <c r="B112" s="13"/>
      <c r="C112" s="109"/>
      <c r="F112" s="16" t="s">
        <v>31</v>
      </c>
      <c r="G112" s="172">
        <v>1.8499999999999999E-2</v>
      </c>
      <c r="H112" s="17"/>
      <c r="I112" s="53"/>
      <c r="J112" s="53">
        <f>+Q91*(1-V89)*G112*F89/60</f>
        <v>15.473399999999998</v>
      </c>
      <c r="K112" s="55"/>
      <c r="N112" s="111"/>
      <c r="O112" s="111"/>
      <c r="P112" s="111"/>
      <c r="Q112" s="111"/>
      <c r="R112" s="115"/>
      <c r="S112" s="118"/>
      <c r="T112" s="111"/>
      <c r="U112" s="117"/>
      <c r="V112" s="117"/>
    </row>
    <row r="113" spans="2:22" x14ac:dyDescent="0.2">
      <c r="B113" s="13"/>
      <c r="C113" s="109"/>
      <c r="F113" s="16" t="s">
        <v>82</v>
      </c>
      <c r="G113" s="172">
        <v>1.0999999999999999E-2</v>
      </c>
      <c r="H113" s="17"/>
      <c r="I113" s="53"/>
      <c r="J113" s="53">
        <f>ROUND((+Q91*(1-V89)*F89/60*G113),0)</f>
        <v>9</v>
      </c>
      <c r="K113" s="55"/>
      <c r="N113" s="111"/>
      <c r="O113" s="111"/>
      <c r="P113" s="111"/>
      <c r="Q113" s="111"/>
      <c r="R113" s="115"/>
      <c r="S113" s="118"/>
      <c r="T113" s="111"/>
      <c r="U113" s="117"/>
      <c r="V113" s="117"/>
    </row>
    <row r="114" spans="2:22" x14ac:dyDescent="0.2">
      <c r="B114" s="13"/>
      <c r="C114" s="109"/>
      <c r="K114" s="50"/>
      <c r="N114" s="111"/>
      <c r="O114" s="111"/>
      <c r="P114" s="111"/>
      <c r="Q114" s="111"/>
      <c r="R114" s="111"/>
      <c r="S114" s="111"/>
      <c r="T114" s="111"/>
      <c r="U114" s="117"/>
      <c r="V114" s="117"/>
    </row>
    <row r="115" spans="2:22" x14ac:dyDescent="0.2">
      <c r="B115" s="13"/>
      <c r="C115" s="109"/>
      <c r="D115" s="10" t="s">
        <v>32</v>
      </c>
      <c r="E115" s="10"/>
      <c r="F115" s="10"/>
      <c r="G115" s="10"/>
      <c r="H115" s="10"/>
      <c r="I115" s="51"/>
      <c r="J115" s="51"/>
      <c r="K115" s="52">
        <f>+I115-J115</f>
        <v>0</v>
      </c>
      <c r="N115" s="111"/>
      <c r="O115" s="111"/>
      <c r="P115" s="111"/>
      <c r="Q115" s="111"/>
      <c r="R115" s="111"/>
      <c r="S115" s="111"/>
      <c r="T115" s="111"/>
      <c r="U115" s="117"/>
      <c r="V115" s="117"/>
    </row>
    <row r="116" spans="2:22" x14ac:dyDescent="0.2">
      <c r="B116" s="13"/>
      <c r="C116" s="109"/>
      <c r="K116" s="50"/>
      <c r="N116" s="111"/>
      <c r="O116" s="111"/>
      <c r="P116" s="111"/>
      <c r="Q116" s="111"/>
      <c r="R116" s="111"/>
      <c r="S116" s="111"/>
      <c r="T116" s="111"/>
      <c r="U116" s="117"/>
      <c r="V116" s="117"/>
    </row>
    <row r="117" spans="2:22" x14ac:dyDescent="0.2">
      <c r="B117" s="13"/>
      <c r="C117" s="109"/>
      <c r="D117" s="10" t="s">
        <v>33</v>
      </c>
      <c r="E117" s="10"/>
      <c r="F117" s="10"/>
      <c r="G117" s="10"/>
      <c r="H117" s="10"/>
      <c r="I117" s="51"/>
      <c r="J117" s="51"/>
      <c r="K117" s="52">
        <f>+I117-J117</f>
        <v>0</v>
      </c>
      <c r="N117" s="111"/>
      <c r="O117" s="111"/>
      <c r="P117" s="111"/>
      <c r="Q117" s="111"/>
      <c r="R117" s="111"/>
      <c r="S117" s="111"/>
      <c r="T117" s="111"/>
      <c r="U117" s="117"/>
      <c r="V117" s="117"/>
    </row>
    <row r="118" spans="2:22" x14ac:dyDescent="0.2">
      <c r="B118" s="13"/>
      <c r="C118" s="109"/>
      <c r="K118" s="50"/>
      <c r="N118" s="111"/>
      <c r="O118" s="111"/>
      <c r="P118" s="111"/>
      <c r="Q118" s="111"/>
      <c r="R118" s="111"/>
      <c r="S118" s="111"/>
      <c r="T118" s="111"/>
      <c r="U118" s="117"/>
      <c r="V118" s="117"/>
    </row>
    <row r="119" spans="2:22" x14ac:dyDescent="0.2">
      <c r="B119" s="13"/>
      <c r="C119" s="109"/>
      <c r="D119" s="10" t="s">
        <v>34</v>
      </c>
      <c r="E119" s="10"/>
      <c r="F119" s="10"/>
      <c r="G119" s="10"/>
      <c r="H119" s="10"/>
      <c r="I119" s="51"/>
      <c r="J119" s="51"/>
      <c r="K119" s="52">
        <f>+I119-J119</f>
        <v>0</v>
      </c>
      <c r="N119" s="111"/>
      <c r="O119" s="111"/>
      <c r="P119" s="111"/>
      <c r="Q119" s="111"/>
      <c r="R119" s="111"/>
      <c r="S119" s="111"/>
      <c r="T119" s="111"/>
      <c r="U119" s="117"/>
      <c r="V119" s="117"/>
    </row>
    <row r="120" spans="2:22" x14ac:dyDescent="0.2">
      <c r="B120" s="13"/>
      <c r="C120" s="109"/>
      <c r="K120" s="50"/>
      <c r="N120" s="111"/>
      <c r="O120" s="111"/>
      <c r="P120" s="111"/>
      <c r="Q120" s="111"/>
      <c r="R120" s="111"/>
      <c r="S120" s="111"/>
      <c r="T120" s="111"/>
      <c r="U120" s="117"/>
      <c r="V120" s="117"/>
    </row>
    <row r="121" spans="2:22" ht="15" x14ac:dyDescent="0.25">
      <c r="B121" s="19" t="s">
        <v>35</v>
      </c>
      <c r="C121" s="20"/>
      <c r="D121" s="20"/>
      <c r="E121" s="20"/>
      <c r="F121" s="20"/>
      <c r="G121" s="20"/>
      <c r="H121" s="20"/>
      <c r="I121" s="56">
        <f>I96</f>
        <v>342.66666666666669</v>
      </c>
      <c r="J121" s="56">
        <f t="shared" ref="J121:K121" si="3">J96</f>
        <v>310.14006666666671</v>
      </c>
      <c r="K121" s="57">
        <f t="shared" si="3"/>
        <v>32.526599999999974</v>
      </c>
      <c r="N121" s="116"/>
      <c r="O121" s="116"/>
      <c r="P121" s="116"/>
      <c r="Q121" s="116"/>
      <c r="R121" s="116"/>
      <c r="S121" s="116"/>
      <c r="T121" s="116"/>
      <c r="U121" s="119"/>
      <c r="V121" s="119"/>
    </row>
    <row r="122" spans="2:22" x14ac:dyDescent="0.2">
      <c r="B122" s="13"/>
      <c r="C122" s="109"/>
      <c r="K122" s="50"/>
      <c r="N122" s="111"/>
      <c r="O122" s="111"/>
      <c r="P122" s="111"/>
      <c r="Q122" s="111"/>
      <c r="R122" s="111"/>
      <c r="S122" s="111"/>
      <c r="T122" s="111"/>
      <c r="U122" s="117"/>
      <c r="V122" s="117"/>
    </row>
    <row r="123" spans="2:22" x14ac:dyDescent="0.2">
      <c r="B123" s="13"/>
      <c r="C123" s="3" t="s">
        <v>36</v>
      </c>
      <c r="D123" s="3"/>
      <c r="E123" s="3"/>
      <c r="F123" s="3"/>
      <c r="G123" s="3"/>
      <c r="H123" s="3"/>
      <c r="I123" s="46"/>
      <c r="J123" s="151">
        <v>352</v>
      </c>
      <c r="K123" s="47">
        <f>+J123</f>
        <v>352</v>
      </c>
      <c r="N123" s="111"/>
      <c r="O123" s="111"/>
      <c r="P123" s="111"/>
      <c r="Q123" s="111"/>
      <c r="R123" s="111"/>
      <c r="S123" s="111"/>
      <c r="T123" s="111"/>
      <c r="U123" s="117"/>
      <c r="V123" s="117"/>
    </row>
    <row r="124" spans="2:22" x14ac:dyDescent="0.2">
      <c r="B124" s="13"/>
      <c r="C124" s="109" t="s">
        <v>37</v>
      </c>
      <c r="K124" s="50"/>
      <c r="N124" s="111"/>
      <c r="O124" s="111"/>
      <c r="P124" s="111"/>
      <c r="Q124" s="111"/>
      <c r="R124" s="111"/>
      <c r="S124" s="111"/>
      <c r="T124" s="111"/>
      <c r="U124" s="117"/>
      <c r="V124" s="117"/>
    </row>
    <row r="125" spans="2:22" ht="15" x14ac:dyDescent="0.25">
      <c r="B125" s="19" t="s">
        <v>38</v>
      </c>
      <c r="C125" s="20"/>
      <c r="D125" s="20"/>
      <c r="E125" s="20"/>
      <c r="F125" s="20"/>
      <c r="G125" s="20"/>
      <c r="H125" s="20"/>
      <c r="I125" s="56">
        <f>+I121+I123</f>
        <v>342.66666666666669</v>
      </c>
      <c r="J125" s="56">
        <f>+J121+J123</f>
        <v>662.14006666666671</v>
      </c>
      <c r="K125" s="57">
        <f>+K121-K123</f>
        <v>-319.47340000000003</v>
      </c>
      <c r="N125" s="116"/>
      <c r="O125" s="116"/>
      <c r="P125" s="116"/>
      <c r="Q125" s="116"/>
      <c r="R125" s="116"/>
      <c r="S125" s="116"/>
      <c r="T125" s="116"/>
      <c r="U125" s="119"/>
      <c r="V125" s="119"/>
    </row>
    <row r="126" spans="2:22" ht="15" x14ac:dyDescent="0.25">
      <c r="B126" s="21"/>
      <c r="C126" s="22"/>
      <c r="D126" s="22"/>
      <c r="E126" s="22"/>
      <c r="F126" s="22"/>
      <c r="G126" s="22"/>
      <c r="H126" s="22"/>
      <c r="I126" s="58"/>
      <c r="J126" s="58"/>
      <c r="K126" s="59"/>
      <c r="N126" s="116"/>
      <c r="O126" s="116"/>
      <c r="P126" s="116"/>
      <c r="Q126" s="116"/>
      <c r="R126" s="116"/>
      <c r="S126" s="116"/>
      <c r="T126" s="116"/>
      <c r="U126" s="119"/>
      <c r="V126" s="119"/>
    </row>
    <row r="127" spans="2:22" ht="15" x14ac:dyDescent="0.25">
      <c r="B127" s="23"/>
      <c r="C127" s="24"/>
      <c r="D127" s="24"/>
      <c r="E127" s="24"/>
      <c r="F127" s="24"/>
      <c r="G127" s="24"/>
      <c r="H127" s="24"/>
      <c r="I127" s="60">
        <f>+ROUND(I125*$H$3,0)</f>
        <v>0</v>
      </c>
      <c r="J127" s="60">
        <f>+ROUND(J125*$H$3,0)</f>
        <v>0</v>
      </c>
      <c r="K127" s="61">
        <f>+ROUND(K125*$H$3,0)</f>
        <v>0</v>
      </c>
      <c r="N127" s="116"/>
      <c r="O127" s="116"/>
      <c r="P127" s="116"/>
      <c r="Q127" s="116"/>
      <c r="R127" s="116"/>
      <c r="S127" s="116"/>
      <c r="T127" s="116"/>
      <c r="U127" s="119"/>
      <c r="V127" s="119"/>
    </row>
  </sheetData>
  <mergeCells count="5">
    <mergeCell ref="K98:K107"/>
    <mergeCell ref="K13:K22"/>
    <mergeCell ref="W13:W22"/>
    <mergeCell ref="K56:K65"/>
    <mergeCell ref="F2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0B523-CAF2-4561-90DD-989088519D73}">
  <dimension ref="B2:N59"/>
  <sheetViews>
    <sheetView workbookViewId="0">
      <selection activeCell="T45" sqref="T45"/>
    </sheetView>
  </sheetViews>
  <sheetFormatPr defaultColWidth="7" defaultRowHeight="12.75" outlineLevelRow="1" x14ac:dyDescent="0.2"/>
  <cols>
    <col min="1" max="3" width="2.875" style="64" customWidth="1"/>
    <col min="4" max="4" width="25.75" style="64" bestFit="1" customWidth="1"/>
    <col min="5" max="5" width="17.125" style="64" bestFit="1" customWidth="1"/>
    <col min="6" max="8" width="13.375" style="64" customWidth="1"/>
    <col min="9" max="9" width="12.375" style="64" bestFit="1" customWidth="1"/>
    <col min="10" max="10" width="11.75" style="64" customWidth="1"/>
    <col min="11" max="13" width="11.75" style="64" bestFit="1" customWidth="1"/>
    <col min="14" max="14" width="16.875" style="64" customWidth="1"/>
    <col min="15" max="16384" width="7" style="64"/>
  </cols>
  <sheetData>
    <row r="2" spans="2:14" x14ac:dyDescent="0.2">
      <c r="D2" s="166" t="s">
        <v>104</v>
      </c>
      <c r="E2" s="166"/>
      <c r="F2" s="166"/>
    </row>
    <row r="3" spans="2:14" x14ac:dyDescent="0.2">
      <c r="D3" s="166"/>
      <c r="E3" s="166"/>
      <c r="F3" s="166"/>
    </row>
    <row r="5" spans="2:14" ht="18" customHeight="1" x14ac:dyDescent="0.2">
      <c r="B5" s="94" t="s">
        <v>43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2:14" x14ac:dyDescent="0.2">
      <c r="B6" s="63"/>
      <c r="D6" s="65"/>
      <c r="E6" s="65"/>
      <c r="F6" s="65"/>
      <c r="G6" s="65"/>
      <c r="H6" s="65"/>
      <c r="I6" s="65"/>
      <c r="J6" s="65"/>
    </row>
    <row r="7" spans="2:14" ht="15" x14ac:dyDescent="0.35">
      <c r="H7" s="66" t="s">
        <v>96</v>
      </c>
      <c r="I7" s="67" t="s">
        <v>45</v>
      </c>
      <c r="J7" s="67" t="s">
        <v>46</v>
      </c>
      <c r="K7" s="67" t="s">
        <v>47</v>
      </c>
      <c r="L7" s="67" t="s">
        <v>48</v>
      </c>
      <c r="M7" s="67" t="s">
        <v>49</v>
      </c>
    </row>
    <row r="8" spans="2:14" x14ac:dyDescent="0.2">
      <c r="H8" s="66"/>
      <c r="I8" s="69" t="s">
        <v>44</v>
      </c>
      <c r="J8" s="69" t="s">
        <v>44</v>
      </c>
      <c r="K8" s="69" t="s">
        <v>44</v>
      </c>
      <c r="L8" s="69" t="s">
        <v>44</v>
      </c>
      <c r="M8" s="69" t="s">
        <v>44</v>
      </c>
    </row>
    <row r="9" spans="2:14" x14ac:dyDescent="0.2">
      <c r="C9" s="72" t="s">
        <v>70</v>
      </c>
      <c r="D9" s="72"/>
      <c r="E9" s="72"/>
      <c r="F9" s="72"/>
      <c r="G9" s="72"/>
      <c r="H9" s="95"/>
      <c r="I9" s="95"/>
      <c r="J9" s="95"/>
      <c r="K9" s="95"/>
      <c r="L9" s="95"/>
      <c r="M9" s="95"/>
    </row>
    <row r="10" spans="2:14" ht="15" x14ac:dyDescent="0.35">
      <c r="D10" s="73"/>
      <c r="E10" s="73"/>
      <c r="F10" s="73"/>
      <c r="G10" s="73"/>
      <c r="H10" s="73"/>
      <c r="I10" s="68"/>
      <c r="J10" s="68"/>
      <c r="K10" s="68"/>
      <c r="L10" s="68"/>
      <c r="M10" s="68"/>
    </row>
    <row r="11" spans="2:14" ht="14.25" customHeight="1" x14ac:dyDescent="0.2">
      <c r="D11" s="131" t="s">
        <v>105</v>
      </c>
      <c r="E11" s="132" t="s">
        <v>50</v>
      </c>
      <c r="F11" s="133"/>
      <c r="G11" s="134"/>
      <c r="H11" s="96" t="s">
        <v>51</v>
      </c>
      <c r="I11" s="162">
        <v>175000</v>
      </c>
      <c r="J11" s="163">
        <v>167500</v>
      </c>
      <c r="K11" s="163">
        <v>192500</v>
      </c>
      <c r="L11" s="163">
        <v>200250</v>
      </c>
      <c r="M11" s="163">
        <v>150750</v>
      </c>
      <c r="N11" s="158" t="s">
        <v>99</v>
      </c>
    </row>
    <row r="12" spans="2:14" ht="14.25" customHeight="1" x14ac:dyDescent="0.2">
      <c r="D12" s="131"/>
      <c r="E12" s="122" t="s">
        <v>98</v>
      </c>
      <c r="F12" s="123"/>
      <c r="G12" s="124"/>
      <c r="H12" s="96" t="s">
        <v>51</v>
      </c>
      <c r="I12" s="162">
        <v>30000</v>
      </c>
      <c r="J12" s="162">
        <v>30000</v>
      </c>
      <c r="K12" s="162">
        <v>30000</v>
      </c>
      <c r="L12" s="162">
        <v>30000</v>
      </c>
      <c r="M12" s="162">
        <v>30000</v>
      </c>
      <c r="N12" s="158"/>
    </row>
    <row r="13" spans="2:14" ht="14.25" customHeight="1" x14ac:dyDescent="0.2">
      <c r="D13" s="131"/>
      <c r="E13" s="97" t="s">
        <v>100</v>
      </c>
      <c r="F13" s="98"/>
      <c r="G13" s="99"/>
      <c r="H13" s="96" t="s">
        <v>51</v>
      </c>
      <c r="I13" s="162">
        <v>84000</v>
      </c>
      <c r="J13" s="162">
        <v>84000</v>
      </c>
      <c r="K13" s="162">
        <v>84000</v>
      </c>
      <c r="L13" s="162">
        <v>84000</v>
      </c>
      <c r="M13" s="162">
        <v>84000</v>
      </c>
      <c r="N13" s="158"/>
    </row>
    <row r="14" spans="2:14" x14ac:dyDescent="0.2">
      <c r="D14" s="131"/>
      <c r="E14" s="135" t="s">
        <v>52</v>
      </c>
      <c r="F14" s="136"/>
      <c r="G14" s="137"/>
      <c r="H14" s="100" t="s">
        <v>51</v>
      </c>
      <c r="I14" s="164">
        <v>42000</v>
      </c>
      <c r="J14" s="164">
        <v>42000</v>
      </c>
      <c r="K14" s="164">
        <v>42000</v>
      </c>
      <c r="L14" s="164">
        <v>42000</v>
      </c>
      <c r="M14" s="164">
        <v>42000</v>
      </c>
      <c r="N14" s="157" t="s">
        <v>97</v>
      </c>
    </row>
    <row r="15" spans="2:14" ht="14.25" customHeight="1" x14ac:dyDescent="0.2">
      <c r="D15" s="131"/>
      <c r="E15" s="138" t="s">
        <v>53</v>
      </c>
      <c r="F15" s="139"/>
      <c r="G15" s="140"/>
      <c r="H15" s="100" t="s">
        <v>51</v>
      </c>
      <c r="I15" s="162"/>
      <c r="J15" s="163">
        <v>18000</v>
      </c>
      <c r="K15" s="163">
        <v>18000</v>
      </c>
      <c r="L15" s="163">
        <v>18000</v>
      </c>
      <c r="M15" s="163">
        <v>18000</v>
      </c>
      <c r="N15" s="157"/>
    </row>
    <row r="16" spans="2:14" ht="14.25" customHeight="1" x14ac:dyDescent="0.2">
      <c r="D16" s="131"/>
      <c r="E16" s="138" t="s">
        <v>54</v>
      </c>
      <c r="F16" s="139"/>
      <c r="G16" s="140"/>
      <c r="H16" s="100" t="s">
        <v>51</v>
      </c>
      <c r="I16" s="162"/>
      <c r="J16" s="163">
        <f>+J14-J15</f>
        <v>24000</v>
      </c>
      <c r="K16" s="163">
        <f t="shared" ref="K16:M16" si="0">+K14-K15</f>
        <v>24000</v>
      </c>
      <c r="L16" s="163">
        <f t="shared" si="0"/>
        <v>24000</v>
      </c>
      <c r="M16" s="163">
        <f t="shared" si="0"/>
        <v>24000</v>
      </c>
      <c r="N16" s="157"/>
    </row>
    <row r="17" spans="3:14" ht="14.25" customHeight="1" x14ac:dyDescent="0.2">
      <c r="D17" s="131"/>
      <c r="E17" s="138" t="s">
        <v>55</v>
      </c>
      <c r="F17" s="139"/>
      <c r="G17" s="140"/>
      <c r="H17" s="101" t="s">
        <v>51</v>
      </c>
      <c r="I17" s="162"/>
      <c r="J17" s="163">
        <f>+J16*0.7</f>
        <v>16800</v>
      </c>
      <c r="K17" s="163">
        <f t="shared" ref="K17:M17" si="1">+K16*0.7</f>
        <v>16800</v>
      </c>
      <c r="L17" s="163">
        <f t="shared" si="1"/>
        <v>16800</v>
      </c>
      <c r="M17" s="163">
        <f t="shared" si="1"/>
        <v>16800</v>
      </c>
      <c r="N17" s="157"/>
    </row>
    <row r="18" spans="3:14" ht="14.25" customHeight="1" x14ac:dyDescent="0.2">
      <c r="D18" s="131"/>
      <c r="E18" s="138" t="s">
        <v>56</v>
      </c>
      <c r="F18" s="139"/>
      <c r="G18" s="140"/>
      <c r="H18" s="101" t="s">
        <v>51</v>
      </c>
      <c r="I18" s="162"/>
      <c r="J18" s="163">
        <f>J16*0.3</f>
        <v>7200</v>
      </c>
      <c r="K18" s="163">
        <f t="shared" ref="K18:M18" si="2">K16*0.3</f>
        <v>7200</v>
      </c>
      <c r="L18" s="163">
        <f t="shared" si="2"/>
        <v>7200</v>
      </c>
      <c r="M18" s="163">
        <f t="shared" si="2"/>
        <v>7200</v>
      </c>
      <c r="N18" s="157"/>
    </row>
    <row r="19" spans="3:14" x14ac:dyDescent="0.2">
      <c r="D19" s="131"/>
      <c r="E19" s="167" t="s">
        <v>57</v>
      </c>
      <c r="F19" s="168"/>
      <c r="G19" s="169"/>
      <c r="H19" s="170" t="s">
        <v>51</v>
      </c>
      <c r="I19" s="165">
        <v>12000</v>
      </c>
      <c r="J19" s="165">
        <v>12000</v>
      </c>
      <c r="K19" s="165">
        <v>12000</v>
      </c>
      <c r="L19" s="165">
        <v>12000</v>
      </c>
      <c r="M19" s="165">
        <v>12000</v>
      </c>
      <c r="N19" s="171" t="s">
        <v>101</v>
      </c>
    </row>
    <row r="20" spans="3:14" x14ac:dyDescent="0.2">
      <c r="E20" s="159" t="s">
        <v>102</v>
      </c>
      <c r="F20" s="159"/>
      <c r="G20" s="159"/>
      <c r="H20" s="160"/>
      <c r="I20" s="161">
        <f>I19/I12</f>
        <v>0.4</v>
      </c>
      <c r="J20" s="161">
        <f t="shared" ref="J20:M20" si="3">J19/J12</f>
        <v>0.4</v>
      </c>
      <c r="K20" s="161">
        <f t="shared" si="3"/>
        <v>0.4</v>
      </c>
      <c r="L20" s="161">
        <f t="shared" si="3"/>
        <v>0.4</v>
      </c>
      <c r="M20" s="161">
        <f t="shared" si="3"/>
        <v>0.4</v>
      </c>
    </row>
    <row r="21" spans="3:14" x14ac:dyDescent="0.2">
      <c r="E21" s="159" t="s">
        <v>103</v>
      </c>
      <c r="F21" s="159"/>
      <c r="G21" s="159"/>
      <c r="H21" s="160"/>
      <c r="I21" s="161">
        <f>I19/I13</f>
        <v>0.14285714285714285</v>
      </c>
      <c r="J21" s="161">
        <f t="shared" ref="J21:M21" si="4">J19/J13</f>
        <v>0.14285714285714285</v>
      </c>
      <c r="K21" s="161">
        <f t="shared" si="4"/>
        <v>0.14285714285714285</v>
      </c>
      <c r="L21" s="161">
        <f t="shared" si="4"/>
        <v>0.14285714285714285</v>
      </c>
      <c r="M21" s="161">
        <f t="shared" si="4"/>
        <v>0.14285714285714285</v>
      </c>
    </row>
    <row r="24" spans="3:14" ht="12.75" customHeight="1" x14ac:dyDescent="0.2">
      <c r="C24" s="72" t="s">
        <v>67</v>
      </c>
      <c r="D24" s="72"/>
      <c r="E24" s="72"/>
      <c r="F24" s="72"/>
      <c r="G24" s="72"/>
      <c r="H24" s="95"/>
      <c r="I24" s="102">
        <v>0.05</v>
      </c>
      <c r="J24" s="102">
        <v>0.05</v>
      </c>
      <c r="K24" s="102">
        <v>0.05</v>
      </c>
      <c r="L24" s="102">
        <v>0.05</v>
      </c>
      <c r="M24" s="102">
        <v>0.05</v>
      </c>
    </row>
    <row r="25" spans="3:14" x14ac:dyDescent="0.2">
      <c r="D25" s="76"/>
      <c r="E25" s="76"/>
      <c r="F25" s="76"/>
      <c r="G25" s="76"/>
      <c r="H25" s="76"/>
      <c r="I25" s="76"/>
    </row>
    <row r="26" spans="3:14" ht="15" hidden="1" outlineLevel="1" x14ac:dyDescent="0.35">
      <c r="D26" s="77" t="s">
        <v>69</v>
      </c>
      <c r="E26" s="78" t="s">
        <v>58</v>
      </c>
      <c r="F26" s="78" t="s">
        <v>59</v>
      </c>
      <c r="G26" s="78" t="s">
        <v>60</v>
      </c>
      <c r="H26" s="78" t="s">
        <v>61</v>
      </c>
      <c r="I26" s="78" t="s">
        <v>62</v>
      </c>
    </row>
    <row r="27" spans="3:14" hidden="1" outlineLevel="1" x14ac:dyDescent="0.2">
      <c r="D27" s="103" t="s">
        <v>63</v>
      </c>
      <c r="E27" s="75">
        <f>+I19</f>
        <v>12000</v>
      </c>
      <c r="F27" s="75">
        <f t="shared" ref="F27:I27" si="5">+J19</f>
        <v>12000</v>
      </c>
      <c r="G27" s="75">
        <f t="shared" si="5"/>
        <v>12000</v>
      </c>
      <c r="H27" s="75">
        <f t="shared" si="5"/>
        <v>12000</v>
      </c>
      <c r="I27" s="75">
        <f t="shared" si="5"/>
        <v>12000</v>
      </c>
    </row>
    <row r="28" spans="3:14" hidden="1" outlineLevel="1" x14ac:dyDescent="0.2">
      <c r="D28" s="80" t="s">
        <v>64</v>
      </c>
      <c r="E28" s="75">
        <f>ROUND(+E27*I24,0)</f>
        <v>600</v>
      </c>
      <c r="F28" s="75">
        <f>ROUND(+F27*J24,0)</f>
        <v>600</v>
      </c>
      <c r="G28" s="75">
        <f>ROUND(+G27*K24,0)</f>
        <v>600</v>
      </c>
      <c r="H28" s="75">
        <f>ROUND(+H27*L24,0)</f>
        <v>600</v>
      </c>
      <c r="I28" s="75">
        <f>ROUND(+I27*M24,0)</f>
        <v>600</v>
      </c>
    </row>
    <row r="29" spans="3:14" hidden="1" outlineLevel="1" x14ac:dyDescent="0.2">
      <c r="D29" s="80" t="s">
        <v>65</v>
      </c>
      <c r="E29" s="75">
        <f>+E27-E28</f>
        <v>11400</v>
      </c>
      <c r="F29" s="75">
        <f t="shared" ref="F29:I29" si="6">+F27-F28</f>
        <v>11400</v>
      </c>
      <c r="G29" s="75">
        <f t="shared" si="6"/>
        <v>11400</v>
      </c>
      <c r="H29" s="75">
        <f t="shared" si="6"/>
        <v>11400</v>
      </c>
      <c r="I29" s="75">
        <f t="shared" si="6"/>
        <v>11400</v>
      </c>
    </row>
    <row r="30" spans="3:14" hidden="1" outlineLevel="1" x14ac:dyDescent="0.2">
      <c r="D30" s="80" t="s">
        <v>66</v>
      </c>
      <c r="E30" s="75"/>
      <c r="F30" s="75"/>
      <c r="G30" s="75"/>
      <c r="H30" s="75">
        <f>-E29</f>
        <v>-11400</v>
      </c>
      <c r="I30" s="75">
        <f>-F29</f>
        <v>-11400</v>
      </c>
    </row>
    <row r="31" spans="3:14" hidden="1" outlineLevel="1" x14ac:dyDescent="0.2">
      <c r="D31" s="80"/>
      <c r="E31" s="80"/>
      <c r="F31" s="80"/>
      <c r="G31" s="80"/>
      <c r="H31" s="80"/>
      <c r="I31" s="80"/>
    </row>
    <row r="32" spans="3:14" collapsed="1" x14ac:dyDescent="0.2">
      <c r="C32" s="64" t="s">
        <v>68</v>
      </c>
      <c r="D32" s="104"/>
      <c r="E32" s="79"/>
      <c r="F32" s="79"/>
      <c r="G32" s="79"/>
      <c r="H32" s="79"/>
      <c r="I32" s="79">
        <f>+E29</f>
        <v>11400</v>
      </c>
      <c r="J32" s="75">
        <f>+E29+F29</f>
        <v>22800</v>
      </c>
      <c r="K32" s="79">
        <f>+J32+G29</f>
        <v>34200</v>
      </c>
      <c r="L32" s="79">
        <f>+K32+H30+H29</f>
        <v>34200</v>
      </c>
      <c r="M32" s="79">
        <f>+L32+I29+I30</f>
        <v>34200</v>
      </c>
    </row>
    <row r="33" spans="3:13" x14ac:dyDescent="0.2">
      <c r="D33" s="103"/>
      <c r="E33" s="103"/>
      <c r="F33" s="103"/>
      <c r="G33" s="103"/>
      <c r="H33" s="103"/>
      <c r="I33" s="103"/>
    </row>
    <row r="34" spans="3:13" x14ac:dyDescent="0.2">
      <c r="D34" s="103"/>
      <c r="E34" s="103"/>
      <c r="F34" s="103"/>
      <c r="G34" s="103"/>
      <c r="H34" s="103"/>
      <c r="I34" s="103"/>
    </row>
    <row r="35" spans="3:13" x14ac:dyDescent="0.2">
      <c r="D35" s="105" t="s">
        <v>11</v>
      </c>
      <c r="E35" s="103"/>
      <c r="F35" s="103"/>
      <c r="G35" s="103"/>
      <c r="H35" s="106" t="s">
        <v>76</v>
      </c>
      <c r="I35" s="107">
        <f>ROUND(+Single_contract!$K$24*12*I$32*0.5/1000,0)</f>
        <v>515</v>
      </c>
      <c r="J35" s="107">
        <f>ROUND(+Single_contract!$K$24*12*J32*0.5/1000,0)</f>
        <v>1030</v>
      </c>
      <c r="K35" s="107">
        <f>ROUND(+Single_contract!$K$24*12*K32*0.5/1000,0)</f>
        <v>1544</v>
      </c>
      <c r="L35" s="107">
        <f>ROUND(+Single_contract!$K$24*12*L32*0.5/1000,0)</f>
        <v>1544</v>
      </c>
      <c r="M35" s="107">
        <f>ROUND(+Single_contract!$K$24*12*M32*0.5/1000,0)</f>
        <v>1544</v>
      </c>
    </row>
    <row r="36" spans="3:13" x14ac:dyDescent="0.2">
      <c r="D36" s="105" t="s">
        <v>14</v>
      </c>
      <c r="E36" s="103"/>
      <c r="F36" s="103"/>
      <c r="G36" s="103"/>
      <c r="H36" s="106" t="s">
        <v>76</v>
      </c>
      <c r="I36" s="107"/>
    </row>
    <row r="37" spans="3:13" x14ac:dyDescent="0.2">
      <c r="D37" s="108" t="s">
        <v>15</v>
      </c>
      <c r="E37" s="103"/>
      <c r="F37" s="103"/>
      <c r="G37" s="103"/>
      <c r="H37" s="106" t="s">
        <v>76</v>
      </c>
      <c r="I37" s="107"/>
    </row>
    <row r="38" spans="3:13" x14ac:dyDescent="0.2">
      <c r="D38" s="108" t="s">
        <v>17</v>
      </c>
      <c r="E38" s="103"/>
      <c r="F38" s="103"/>
      <c r="G38" s="103"/>
      <c r="H38" s="106" t="s">
        <v>76</v>
      </c>
      <c r="I38" s="107"/>
    </row>
    <row r="39" spans="3:13" x14ac:dyDescent="0.2">
      <c r="D39" s="108" t="s">
        <v>18</v>
      </c>
      <c r="E39" s="103"/>
      <c r="F39" s="103"/>
      <c r="G39" s="103"/>
      <c r="H39" s="106" t="s">
        <v>76</v>
      </c>
      <c r="I39" s="107"/>
    </row>
    <row r="40" spans="3:13" x14ac:dyDescent="0.2">
      <c r="D40" s="108" t="s">
        <v>19</v>
      </c>
      <c r="E40" s="103"/>
      <c r="F40" s="103"/>
      <c r="G40" s="103"/>
      <c r="H40" s="106" t="s">
        <v>76</v>
      </c>
      <c r="I40" s="107"/>
    </row>
    <row r="41" spans="3:13" x14ac:dyDescent="0.2">
      <c r="D41" s="108" t="s">
        <v>21</v>
      </c>
      <c r="E41" s="103"/>
      <c r="F41" s="103"/>
      <c r="G41" s="103"/>
      <c r="H41" s="106" t="s">
        <v>76</v>
      </c>
      <c r="I41" s="107"/>
    </row>
    <row r="42" spans="3:13" x14ac:dyDescent="0.2">
      <c r="D42" s="108" t="s">
        <v>22</v>
      </c>
      <c r="E42" s="103"/>
      <c r="F42" s="103"/>
      <c r="G42" s="103"/>
      <c r="H42" s="106" t="s">
        <v>76</v>
      </c>
      <c r="I42" s="107"/>
    </row>
    <row r="43" spans="3:13" x14ac:dyDescent="0.2">
      <c r="D43" s="108" t="s">
        <v>23</v>
      </c>
      <c r="E43" s="103"/>
      <c r="F43" s="103"/>
      <c r="G43" s="103"/>
      <c r="H43" s="106" t="s">
        <v>76</v>
      </c>
      <c r="I43" s="107"/>
    </row>
    <row r="44" spans="3:13" x14ac:dyDescent="0.2">
      <c r="D44" s="108" t="s">
        <v>24</v>
      </c>
      <c r="E44" s="103"/>
      <c r="F44" s="103"/>
      <c r="G44" s="103"/>
      <c r="H44" s="106" t="s">
        <v>76</v>
      </c>
      <c r="I44" s="107"/>
    </row>
    <row r="45" spans="3:13" x14ac:dyDescent="0.2">
      <c r="D45" s="108" t="s">
        <v>25</v>
      </c>
      <c r="E45" s="103"/>
      <c r="F45" s="103"/>
      <c r="G45" s="103"/>
      <c r="H45" s="106" t="s">
        <v>76</v>
      </c>
      <c r="I45" s="107"/>
    </row>
    <row r="46" spans="3:13" ht="12.75" customHeight="1" x14ac:dyDescent="0.2">
      <c r="G46" s="66"/>
      <c r="H46" s="81"/>
      <c r="I46" s="81"/>
      <c r="J46" s="81"/>
      <c r="K46" s="74"/>
      <c r="L46" s="74"/>
      <c r="M46" s="74"/>
    </row>
    <row r="47" spans="3:13" ht="12.75" customHeight="1" x14ac:dyDescent="0.2">
      <c r="C47" s="64" t="s">
        <v>39</v>
      </c>
      <c r="G47" s="66"/>
      <c r="H47" s="93" t="s">
        <v>76</v>
      </c>
      <c r="I47" s="89">
        <f>+SUM(I35:I46)</f>
        <v>515</v>
      </c>
      <c r="J47" s="89">
        <f t="shared" ref="J47:M47" si="7">+SUM(J35:J46)</f>
        <v>1030</v>
      </c>
      <c r="K47" s="89">
        <f t="shared" si="7"/>
        <v>1544</v>
      </c>
      <c r="L47" s="89">
        <f t="shared" si="7"/>
        <v>1544</v>
      </c>
      <c r="M47" s="89">
        <f t="shared" si="7"/>
        <v>1544</v>
      </c>
    </row>
    <row r="48" spans="3:13" ht="12.75" customHeight="1" x14ac:dyDescent="0.2"/>
    <row r="49" spans="3:13" ht="12.75" customHeight="1" x14ac:dyDescent="0.2"/>
    <row r="50" spans="3:13" ht="12.75" customHeight="1" x14ac:dyDescent="0.2"/>
    <row r="51" spans="3:13" ht="12.75" customHeight="1" x14ac:dyDescent="0.35">
      <c r="C51" s="86" t="s">
        <v>40</v>
      </c>
      <c r="D51" s="70"/>
      <c r="E51" s="70"/>
      <c r="F51" s="70"/>
      <c r="G51" s="70"/>
      <c r="H51" s="70"/>
      <c r="I51" s="71"/>
      <c r="J51" s="71"/>
      <c r="K51" s="71"/>
      <c r="L51" s="71"/>
      <c r="M51" s="71"/>
    </row>
    <row r="52" spans="3:13" ht="12.75" customHeight="1" x14ac:dyDescent="0.2"/>
    <row r="53" spans="3:13" ht="12.75" customHeight="1" x14ac:dyDescent="0.2">
      <c r="C53" s="64" t="s">
        <v>41</v>
      </c>
    </row>
    <row r="54" spans="3:13" ht="12.75" customHeight="1" x14ac:dyDescent="0.2">
      <c r="D54" s="64" t="s">
        <v>71</v>
      </c>
      <c r="F54" s="64" t="s">
        <v>73</v>
      </c>
      <c r="G54" s="64" t="s">
        <v>74</v>
      </c>
      <c r="I54" s="85">
        <v>1</v>
      </c>
      <c r="J54" s="85">
        <v>1</v>
      </c>
      <c r="K54" s="85">
        <v>1</v>
      </c>
      <c r="L54" s="85">
        <v>1</v>
      </c>
      <c r="M54" s="85">
        <v>1</v>
      </c>
    </row>
    <row r="55" spans="3:13" ht="12.75" customHeight="1" x14ac:dyDescent="0.2">
      <c r="D55" s="65" t="s">
        <v>72</v>
      </c>
      <c r="E55" s="92">
        <v>60000</v>
      </c>
      <c r="F55" s="91">
        <v>0.05</v>
      </c>
      <c r="G55" s="87">
        <v>0.02</v>
      </c>
      <c r="H55" s="106" t="s">
        <v>76</v>
      </c>
      <c r="I55" s="85">
        <f>+E55/1000</f>
        <v>60</v>
      </c>
      <c r="J55" s="88">
        <f>+$F$55*I55+I55+G55*$G$55</f>
        <v>63.000399999999999</v>
      </c>
      <c r="K55" s="88">
        <f>+J55*(F55+G55)+J55</f>
        <v>67.410427999999996</v>
      </c>
      <c r="L55" s="88">
        <f>+$F$55*K55+K55+I55*$G$55</f>
        <v>71.9809494</v>
      </c>
      <c r="M55" s="88">
        <f>+$F$55*L55+L55+J55*$G$55</f>
        <v>76.840004870000001</v>
      </c>
    </row>
    <row r="56" spans="3:13" x14ac:dyDescent="0.2">
      <c r="D56" s="64" t="s">
        <v>75</v>
      </c>
    </row>
    <row r="57" spans="3:13" x14ac:dyDescent="0.2">
      <c r="D57" s="65"/>
      <c r="E57" s="90"/>
    </row>
    <row r="59" spans="3:13" x14ac:dyDescent="0.2">
      <c r="C59" s="82" t="s">
        <v>42</v>
      </c>
      <c r="D59" s="82"/>
      <c r="E59" s="82"/>
      <c r="F59" s="82"/>
      <c r="G59" s="82"/>
      <c r="H59" s="83"/>
      <c r="I59" s="84">
        <f>+I47-I55-I56</f>
        <v>455</v>
      </c>
      <c r="J59" s="84">
        <f t="shared" ref="J59:M59" si="8">+J47-J55-J56</f>
        <v>966.99959999999999</v>
      </c>
      <c r="K59" s="84">
        <f t="shared" si="8"/>
        <v>1476.5895720000001</v>
      </c>
      <c r="L59" s="84">
        <f t="shared" si="8"/>
        <v>1472.0190505999999</v>
      </c>
      <c r="M59" s="84">
        <f t="shared" si="8"/>
        <v>1467.15999513</v>
      </c>
    </row>
  </sheetData>
  <mergeCells count="13">
    <mergeCell ref="D2:F3"/>
    <mergeCell ref="N14:N18"/>
    <mergeCell ref="N11:N13"/>
    <mergeCell ref="E20:G20"/>
    <mergeCell ref="E21:G21"/>
    <mergeCell ref="D11:D19"/>
    <mergeCell ref="E11:G11"/>
    <mergeCell ref="E14:G14"/>
    <mergeCell ref="E15:G15"/>
    <mergeCell ref="E16:G16"/>
    <mergeCell ref="E17:G17"/>
    <mergeCell ref="E18:G18"/>
    <mergeCell ref="E19:G19"/>
  </mergeCells>
  <phoneticPr fontId="20" type="noConversion"/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00B0984F30184B9ED63EF7747DBC35" ma:contentTypeVersion="16" ma:contentTypeDescription="Create a new document." ma:contentTypeScope="" ma:versionID="4178787df68c01de62dcdd993838ffed">
  <xsd:schema xmlns:xsd="http://www.w3.org/2001/XMLSchema" xmlns:xs="http://www.w3.org/2001/XMLSchema" xmlns:p="http://schemas.microsoft.com/office/2006/metadata/properties" xmlns:ns2="778bb4f6-22e1-4332-8cc0-457897b34c98" xmlns:ns3="507f2a87-2052-42e4-991b-f61dc722f2a6" targetNamespace="http://schemas.microsoft.com/office/2006/metadata/properties" ma:root="true" ma:fieldsID="dfe18e5faaf4edcc861534e95963186f" ns2:_="" ns3:_="">
    <xsd:import namespace="778bb4f6-22e1-4332-8cc0-457897b34c98"/>
    <xsd:import namespace="507f2a87-2052-42e4-991b-f61dc722f2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b4f6-22e1-4332-8cc0-457897b34c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b2e9ea2-8fde-41a7-95c9-fea6806e5a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f2a87-2052-42e4-991b-f61dc722f2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436065-ea21-48fb-86ac-b54ea135ea65}" ma:internalName="TaxCatchAll" ma:showField="CatchAllData" ma:web="507f2a87-2052-42e4-991b-f61dc722f2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7f2a87-2052-42e4-991b-f61dc722f2a6" xsi:nil="true"/>
    <lcf76f155ced4ddcb4097134ff3c332f xmlns="778bb4f6-22e1-4332-8cc0-457897b34c98">
      <Terms xmlns="http://schemas.microsoft.com/office/infopath/2007/PartnerControls"/>
    </lcf76f155ced4ddcb4097134ff3c332f>
    <SharedWithUsers xmlns="507f2a87-2052-42e4-991b-f61dc722f2a6">
      <UserInfo>
        <DisplayName>Darren Hing</DisplayName>
        <AccountId>15</AccountId>
        <AccountType/>
      </UserInfo>
      <UserInfo>
        <DisplayName>Oliver Maraite</DisplayName>
        <AccountId>84</AccountId>
        <AccountType/>
      </UserInfo>
      <UserInfo>
        <DisplayName>Stefanie Sinton</DisplayName>
        <AccountId>33</AccountId>
        <AccountType/>
      </UserInfo>
      <UserInfo>
        <DisplayName>Piergiorgio Ciceri</DisplayName>
        <AccountId>30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04FFF8E-4F9E-40F0-95B6-FACF87D5D0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8bb4f6-22e1-4332-8cc0-457897b34c98"/>
    <ds:schemaRef ds:uri="507f2a87-2052-42e4-991b-f61dc722f2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78757B-F59D-4A5B-B957-ADDF222389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696AF5-BCFB-4809-9041-2D7A0628B4E2}">
  <ds:schemaRefs>
    <ds:schemaRef ds:uri="http://schemas.microsoft.com/office/2006/metadata/properties"/>
    <ds:schemaRef ds:uri="http://schemas.microsoft.com/office/infopath/2007/PartnerControls"/>
    <ds:schemaRef ds:uri="507f2a87-2052-42e4-991b-f61dc722f2a6"/>
    <ds:schemaRef ds:uri="778bb4f6-22e1-4332-8cc0-457897b34c9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Single_contract</vt:lpstr>
      <vt:lpstr>Business_Plan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Maraite</dc:creator>
  <cp:lastModifiedBy>Piergiorgio Ciceri</cp:lastModifiedBy>
  <dcterms:created xsi:type="dcterms:W3CDTF">2022-06-14T13:59:37Z</dcterms:created>
  <dcterms:modified xsi:type="dcterms:W3CDTF">2022-07-06T13:56:03Z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0x010100D100B0984F30184B9ED63EF7747DBC35</vt:lpwstr>
  </property>
</Properties>
</file>